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pr. za I pól.2020\"/>
    </mc:Choice>
  </mc:AlternateContent>
  <bookViews>
    <workbookView xWindow="0" yWindow="0" windowWidth="24000" windowHeight="9000" activeTab="1"/>
  </bookViews>
  <sheets>
    <sheet name="Wykonanie WPF" sheetId="1" r:id="rId1"/>
    <sheet name="Przedsięwzięcia" sheetId="4" r:id="rId2"/>
  </sheets>
  <calcPr calcId="162913"/>
</workbook>
</file>

<file path=xl/calcChain.xml><?xml version="1.0" encoding="utf-8"?>
<calcChain xmlns="http://schemas.openxmlformats.org/spreadsheetml/2006/main">
  <c r="J18" i="4" l="1"/>
  <c r="J17" i="4"/>
  <c r="J16" i="4"/>
  <c r="L15" i="4"/>
  <c r="L13" i="4" s="1"/>
  <c r="K15" i="4"/>
  <c r="I15" i="4"/>
  <c r="H15" i="4"/>
  <c r="J15" i="4" s="1"/>
  <c r="G15" i="4"/>
  <c r="F15" i="4"/>
  <c r="L14" i="4"/>
  <c r="K14" i="4"/>
  <c r="K13" i="4" s="1"/>
  <c r="I14" i="4"/>
  <c r="H14" i="4"/>
  <c r="J14" i="4" s="1"/>
  <c r="G14" i="4"/>
  <c r="G13" i="4" s="1"/>
  <c r="F14" i="4"/>
  <c r="I13" i="4"/>
  <c r="F13" i="4"/>
  <c r="L12" i="4"/>
  <c r="K12" i="4"/>
  <c r="I12" i="4"/>
  <c r="I10" i="4" s="1"/>
  <c r="H12" i="4"/>
  <c r="J12" i="4" s="1"/>
  <c r="G12" i="4"/>
  <c r="F12" i="4"/>
  <c r="L11" i="4"/>
  <c r="L10" i="4" s="1"/>
  <c r="K11" i="4"/>
  <c r="I11" i="4"/>
  <c r="H11" i="4"/>
  <c r="J11" i="4" s="1"/>
  <c r="G11" i="4"/>
  <c r="G10" i="4" s="1"/>
  <c r="F11" i="4"/>
  <c r="K10" i="4"/>
  <c r="F10" i="4"/>
  <c r="J9" i="4"/>
  <c r="J8" i="4"/>
  <c r="L7" i="4"/>
  <c r="L4" i="4" s="1"/>
  <c r="K7" i="4"/>
  <c r="K4" i="4" s="1"/>
  <c r="I7" i="4"/>
  <c r="I5" i="4" s="1"/>
  <c r="H7" i="4"/>
  <c r="H4" i="4" s="1"/>
  <c r="G7" i="4"/>
  <c r="F7" i="4"/>
  <c r="F4" i="4" s="1"/>
  <c r="L6" i="4"/>
  <c r="K6" i="4"/>
  <c r="K3" i="4" s="1"/>
  <c r="I6" i="4"/>
  <c r="I3" i="4" s="1"/>
  <c r="H6" i="4"/>
  <c r="H3" i="4" s="1"/>
  <c r="J3" i="4" s="1"/>
  <c r="G6" i="4"/>
  <c r="F6" i="4"/>
  <c r="F5" i="4" s="1"/>
  <c r="F2" i="4" s="1"/>
  <c r="G4" i="4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28" i="1"/>
  <c r="J27" i="1"/>
  <c r="J26" i="1"/>
  <c r="J24" i="1"/>
  <c r="J23" i="1"/>
  <c r="J21" i="1"/>
  <c r="J20" i="1"/>
  <c r="J19" i="1"/>
  <c r="J18" i="1"/>
  <c r="J17" i="1"/>
  <c r="J16" i="1"/>
  <c r="J14" i="1"/>
  <c r="J13" i="1"/>
  <c r="J12" i="1"/>
  <c r="J10" i="1"/>
  <c r="J9" i="1"/>
  <c r="J8" i="1"/>
  <c r="J7" i="1"/>
  <c r="J6" i="1"/>
  <c r="J5" i="1"/>
  <c r="J4" i="1"/>
  <c r="J3" i="1"/>
  <c r="J6" i="4" l="1"/>
  <c r="I2" i="4"/>
  <c r="I4" i="4"/>
  <c r="J4" i="4" s="1"/>
  <c r="L3" i="4"/>
  <c r="G3" i="4"/>
  <c r="F3" i="4"/>
  <c r="G5" i="4"/>
  <c r="G2" i="4" s="1"/>
  <c r="K5" i="4"/>
  <c r="K2" i="4" s="1"/>
  <c r="H10" i="4"/>
  <c r="J10" i="4" s="1"/>
  <c r="H5" i="4"/>
  <c r="L5" i="4"/>
  <c r="L2" i="4" s="1"/>
  <c r="J7" i="4"/>
  <c r="H13" i="4"/>
  <c r="J13" i="4" s="1"/>
  <c r="H2" i="4" l="1"/>
  <c r="J2" i="4" s="1"/>
  <c r="J5" i="4"/>
</calcChain>
</file>

<file path=xl/sharedStrings.xml><?xml version="1.0" encoding="utf-8"?>
<sst xmlns="http://schemas.openxmlformats.org/spreadsheetml/2006/main" count="390" uniqueCount="243">
  <si>
    <t>Lp.</t>
  </si>
  <si>
    <t>Wyszczególnienie</t>
  </si>
  <si>
    <t>2017</t>
  </si>
  <si>
    <t>2018</t>
  </si>
  <si>
    <t>2019 3kw.</t>
  </si>
  <si>
    <t>2019 pw.</t>
  </si>
  <si>
    <t>Plan 2020 – UCHWAŁA WPF</t>
  </si>
  <si>
    <t>Plan 2020 – ZMIANA WPF PÓŁROCZE</t>
  </si>
  <si>
    <t>Wykonanie I półrocze 2020</t>
  </si>
  <si>
    <t>Wykonanie planu (względem zmiany)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</si>
  <si>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</si>
  <si>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</si>
  <si>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</si>
  <si>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</si>
  <si>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</si>
  <si>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</si>
  <si>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</si>
  <si>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</si>
  <si>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</si>
  <si>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</si>
  <si>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1</t>
  </si>
  <si>
    <t>Dochody ogółem</t>
  </si>
  <si>
    <t>1.1</t>
  </si>
  <si>
    <t>Dochody bieżące, z tego:</t>
  </si>
  <si>
    <t>1.1.1</t>
  </si>
  <si>
    <t>dochody z tytułu udziału we wpływach z podatku dochodowego od osób fizycznych</t>
  </si>
  <si>
    <t>1.1.2</t>
  </si>
  <si>
    <t>dochody z tytułu udziału we wpływach z podatku dochodowego od osób prawnych</t>
  </si>
  <si>
    <t>1.1.3</t>
  </si>
  <si>
    <t>z subwencji ogólnej</t>
  </si>
  <si>
    <t>1.1.4</t>
  </si>
  <si>
    <t>z tytułu dotacji i środków przeznaczonych na cele bieżące</t>
  </si>
  <si>
    <t>1.1.5</t>
  </si>
  <si>
    <t>pozostałe dochody bieżące, w tym:</t>
  </si>
  <si>
    <t>1.1.5.1</t>
  </si>
  <si>
    <t>z podatku od nieruchomości</t>
  </si>
  <si>
    <t>1.1.x</t>
  </si>
  <si>
    <t>Inne</t>
  </si>
  <si>
    <t>1.2</t>
  </si>
  <si>
    <t>Dochody majątkowe, w tym:</t>
  </si>
  <si>
    <t>1.2.1</t>
  </si>
  <si>
    <t>ze sprzedaży majątku</t>
  </si>
  <si>
    <t>1.2.2</t>
  </si>
  <si>
    <t>z tytułu dotacji oraz środków przeznaczonych na inwestycje</t>
  </si>
  <si>
    <t>1.2.x</t>
  </si>
  <si>
    <t>2</t>
  </si>
  <si>
    <t>Wydatki ogółem</t>
  </si>
  <si>
    <t>2.1</t>
  </si>
  <si>
    <t>Wydatki bieżące, w tym:</t>
  </si>
  <si>
    <t>2.1.1</t>
  </si>
  <si>
    <t>na wynagrodzenia i składki od nich naliczane</t>
  </si>
  <si>
    <t>2.1.2</t>
  </si>
  <si>
    <t>z tytułu poręczeń i gwarancji, w tym:</t>
  </si>
  <si>
    <t>2.1.2.1</t>
  </si>
  <si>
    <t>gwarancje i poręczenia podlegające wyłączeniu z limitu spłaty zobowiązań, o którym mowa w art. 243 ustawy</t>
  </si>
  <si>
    <t>2.1.3</t>
  </si>
  <si>
    <t>wydatki na obsługę długu, w tym:</t>
  </si>
  <si>
    <t>2.1.3.x</t>
  </si>
  <si>
    <t>odsetki i dyskonto</t>
  </si>
  <si>
    <t>2.1.3.1</t>
  </si>
  <si>
    <t>odsetki i dyskonto podlegające wyłączeniu z limitu spłaty zobowiązań, o którym mowa w art. 243 ustawy, w terminie nie dłuższym niż 90 dni po zakończeniu programu, projektu lub zadania i otrzymaniu refundacji z tych środków (bez odsetek i dyskonta od zobowiązań na wkład krajowy)</t>
  </si>
  <si>
    <t>2.1.3.2</t>
  </si>
  <si>
    <t>odsetki i dyskonto podlegające wyłączeniu z limitu spłaty zobowiązań, o którym mowa w art. 243 ustawy, z tytułu zobowiązań zaciągniętych na wkład krajowy</t>
  </si>
  <si>
    <t>2.1.x</t>
  </si>
  <si>
    <t>2.2</t>
  </si>
  <si>
    <t>Wydatki majątkowe, w tym:</t>
  </si>
  <si>
    <t>2.2.1</t>
  </si>
  <si>
    <t>Inwestycje i zakupy inwestycyjne, o których mowa w art. 236 ust. 4 pkt 1 ustawy, w tym:</t>
  </si>
  <si>
    <t>2.2.1.1</t>
  </si>
  <si>
    <t>wydatki o charakterze dotacyjnym na inwestycje i zakupy inwestycyjne</t>
  </si>
  <si>
    <t>2.2.x</t>
  </si>
  <si>
    <t>3</t>
  </si>
  <si>
    <t>Wynik budżetu</t>
  </si>
  <si>
    <t>3.1</t>
  </si>
  <si>
    <t>Kwota prognozowanej nadwyżki budżetu przeznaczana na spłatę kredytów, pożyczek i wykup papierów wartościowych</t>
  </si>
  <si>
    <t>4</t>
  </si>
  <si>
    <t>Przychody budżetu</t>
  </si>
  <si>
    <t>4.1</t>
  </si>
  <si>
    <t>Kredyty, pożyczki, emisja papierów wartościowych, w tym:</t>
  </si>
  <si>
    <t>4.1.1</t>
  </si>
  <si>
    <t>na pokrycie deficytu budżetu</t>
  </si>
  <si>
    <t>4.2</t>
  </si>
  <si>
    <t>Nadwyżka budżetowa z lat ubiegłych, w tym:</t>
  </si>
  <si>
    <t>4.2.1</t>
  </si>
  <si>
    <t>4.3</t>
  </si>
  <si>
    <t>Wolne środki, o których mowa w art. 217 ust. 2 pkt 6 ustawy, w tym:</t>
  </si>
  <si>
    <t>4.3.1</t>
  </si>
  <si>
    <t>4.4</t>
  </si>
  <si>
    <t>Spłaty udzielonych pożyczek w latach ubiegłych, w tym:</t>
  </si>
  <si>
    <t>4.4.1</t>
  </si>
  <si>
    <t>4.5</t>
  </si>
  <si>
    <t>Inne przychody niezwiązane z zaciągnięciem długu, w tym:</t>
  </si>
  <si>
    <t>4.5.1</t>
  </si>
  <si>
    <t>5</t>
  </si>
  <si>
    <t>Rozchody budżetu</t>
  </si>
  <si>
    <t>5.1</t>
  </si>
  <si>
    <t>Spłaty rat kapitałowych kredytów i pożyczek oraz wykup papierów wartościowych, w tym:</t>
  </si>
  <si>
    <t>5.1.1</t>
  </si>
  <si>
    <t>łączna kwota przypadających na dany rok kwot ustawowych wyłączeń z limitu spłaty zobowiązań, w tym:</t>
  </si>
  <si>
    <t>5.1.1.1</t>
  </si>
  <si>
    <t>kwota przypadających na dany rok kwot wyłączeń określonych w art. 243 ust. 3 ustawy</t>
  </si>
  <si>
    <t>5.1.1.2</t>
  </si>
  <si>
    <t>kwota przypadających na dany rok kwot wyłączeń określonych w art. 243 ust. 3a ustawy</t>
  </si>
  <si>
    <t>5.1.1.3</t>
  </si>
  <si>
    <t>kwota wyłączeń z tytułu wcześniejszej spłaty zobowiązań, określonych w art. 243 ust. 3b ustawy, z tego:</t>
  </si>
  <si>
    <t>5.1.1.3.1</t>
  </si>
  <si>
    <t>środkami nowego zobowiązania</t>
  </si>
  <si>
    <t>5.1.1.3.2</t>
  </si>
  <si>
    <t>wolnymi środkami, o których mowa w art. 217 ust. 2 pkt 6 ustawy</t>
  </si>
  <si>
    <t>5.1.1.3.3</t>
  </si>
  <si>
    <t>innymi środkami</t>
  </si>
  <si>
    <t>5.2</t>
  </si>
  <si>
    <t>Inne rozchody, niezwiązane ze spłatą długu</t>
  </si>
  <si>
    <t>6</t>
  </si>
  <si>
    <t>Kwota długu, w tym:</t>
  </si>
  <si>
    <t>6.1</t>
  </si>
  <si>
    <t>kwota długu, którego planowana spłata dokona się z wydatków</t>
  </si>
  <si>
    <t>7</t>
  </si>
  <si>
    <t>Relacja zrównoważenia wydatków bieżących, o której mowa w art. 242 ustawy</t>
  </si>
  <si>
    <t/>
  </si>
  <si>
    <t>7.1</t>
  </si>
  <si>
    <t>Różnica między dochodami bieżącymi a wydatkami bieżącymi</t>
  </si>
  <si>
    <t>7.2</t>
  </si>
  <si>
    <t>Różnica między dochodami bieżącymi, skorygowanymi o środki, a wydatkami bieżącymi</t>
  </si>
  <si>
    <t>8</t>
  </si>
  <si>
    <t>Wskaźnik spłaty zobowiązań</t>
  </si>
  <si>
    <t>8.1</t>
  </si>
  <si>
    <t>Relacja określona po lewej stronie nierówności we wzorze, o którym mowa w art. 243 ust. 1 ustawy (po uwzględnieniu zobowiązań związku współtworzonego przez jednostkę samorządu terytorialnego oraz po uwzględnieniu ustawowych wyłączeń przypadających na dany rok)</t>
  </si>
  <si>
    <t>8.2</t>
  </si>
  <si>
    <t>Relacja określona po prawej stronie nierówności we wzorze, o którym mowa w art. 243 ust. 1 ustawy, ustalona dla danego roku (wkaźnik jednoroczny)</t>
  </si>
  <si>
    <t>8.2.x</t>
  </si>
  <si>
    <t>Wskaźnik jednoroczny określony po prawej stronie nierówności we wzorze, o którym mowa w art. 243 ust. 1 ustawy, ustalony dla danego roku (wskaźnik jednoroczny)</t>
  </si>
  <si>
    <t>8.3</t>
  </si>
  <si>
    <t>Dopuszczalny limit spłaty zobowiązań określony po prawej stronie nierówności we wzorze, o którym mowa w art. 243 ustawy, po uwzględnieniu ustawowych wyłączeń, obliczony w oparciu o plan 3. kwartału roku poprzedzającego pierwszy rok prognozy (wskaźnik ustalony w oparciu o średnią arytmetyczną z poprzednich lat)</t>
  </si>
  <si>
    <t>8.3.1</t>
  </si>
  <si>
    <t>Dopuszczalny limit spłaty zobowiązań określony po prawej stronie nierówności we wzorze, o którym mowa w art. 243 ustawy, po uwzględnieniu ustawowych wyłączeń, obliczony w oparciu o wykonanie roku poprzedzającego pierwszy rok prognozy (wskaźnik ustalony w oparciu o średnią arytmetyczną z poprzednich lat)</t>
  </si>
  <si>
    <t>8.4</t>
  </si>
  <si>
    <t>Informacja o spełnieniu wskaźnika spłaty zobowiązań określonego w art. 243 ustawy, po uwzględnieniu zobowiązań związku współtworzonego przez jednostkę samorządu terytorialnego oraz po uwzględnieniu ustawowych wyłączeń, obliczonego w oparciu o plan 3 kwartałów roku poprzedzającego rok budżetowy</t>
  </si>
  <si>
    <t>Tak</t>
  </si>
  <si>
    <t>8.4.1</t>
  </si>
  <si>
    <t>Informacja o spełnieniu wskaźnika spłaty zobowiązań określonego w art. 243 ustawy, po uwzględnieniu zobowiązań związku współtworzonego przez jednostkę samorządu terytorialnego oraz po uwzględnieniu ustawowych wyłączeń, obliczonego w oparciu o wykonanie roku poprzedzającego rok budżetowy</t>
  </si>
  <si>
    <t>9</t>
  </si>
  <si>
    <t>Finansowanie programów, projektów lub zadań realizowanych z udziałem środków, o których mowa w art. 5 ust. 1 pkt 2 i 3 ustawy</t>
  </si>
  <si>
    <t>9.1</t>
  </si>
  <si>
    <t>Dochody bieżące na programy, projekty lub zadania finansowe z udziałem środków, o których mowa w art. 5 ust. 1 pkt 2 i 3 ustawy</t>
  </si>
  <si>
    <t>9.1.1</t>
  </si>
  <si>
    <t>Dotacje i środki o charakterze bieżącym na realizację programu, projektu lub zadania finansowanego z udziałem środków, o których mowa w art. 5 ust. 1 pkt 2 ustawy, w tym:</t>
  </si>
  <si>
    <t>9.1.1.1</t>
  </si>
  <si>
    <t>środki określone w art. 5 ust. 1 pkt 2 ustawy</t>
  </si>
  <si>
    <t>9.2</t>
  </si>
  <si>
    <t>Dochody majątkowe na programy, projekty lub zadania finansowe z udziałem środków, o których mowa w art. 5 ust. 1 pkt 2 i 3 ustawy</t>
  </si>
  <si>
    <t>9.2.1</t>
  </si>
  <si>
    <t>Dochody majątkowe na programy, projekty lub zadania finansowe z udziałem środków, o których mowa w art. 5 ust. 1 pkt 2 ustawy, w tym:</t>
  </si>
  <si>
    <t>9.2.1.1</t>
  </si>
  <si>
    <t>9.3</t>
  </si>
  <si>
    <t>Wydatki bieżące na programy, projekty lub zadania finansowe z udziałem środków, o których mowa w art. 5 ust. 1 pkt 2 i 3 ustawy</t>
  </si>
  <si>
    <t>9.3.1</t>
  </si>
  <si>
    <t>Wydatki bieżące na programy, projekty lub zadania finansowe z udziałem środków, o których mowa w art. 5 ust. 1 pkt 2 ustawy, w tym:</t>
  </si>
  <si>
    <t>9.3.1.1</t>
  </si>
  <si>
    <t>finansowane środkami określonymi w art. 5 ust. 1 pkt 2 ustawy</t>
  </si>
  <si>
    <t>9.4</t>
  </si>
  <si>
    <t>Wydatki majątkowe na programy, projekty lub zadania finansowe z udziałem środków, o których mowa w art. 5 ust. 1 pkt 2 i 3 ustawy</t>
  </si>
  <si>
    <t>9.4.1</t>
  </si>
  <si>
    <t>Wydatki majątkowe na programy, projekty lub zadania finansowe z udziałem środków, o których mowa w art. 5 ust. 1 pkt 2 ustawy, w tym:</t>
  </si>
  <si>
    <t>9.4.1.1</t>
  </si>
  <si>
    <t>10</t>
  </si>
  <si>
    <t>Informacje uzupełniające o wybranych kategoriach finansowych</t>
  </si>
  <si>
    <t>10.1</t>
  </si>
  <si>
    <t>Wydatki objęte limitem, o którym mowa w art. 226 ust. 3 pkt 4 ustawy, z tego:</t>
  </si>
  <si>
    <t>10.1.1</t>
  </si>
  <si>
    <t>bieżące</t>
  </si>
  <si>
    <t>10.1.2</t>
  </si>
  <si>
    <t>majątkowe</t>
  </si>
  <si>
    <t>10.2</t>
  </si>
  <si>
    <t>Wydatki bieżące na pokrycie ujemnego wyniku finansowego samodzielnego publicznego zakładu opieki zdrowotnej</t>
  </si>
  <si>
    <t>10.3</t>
  </si>
  <si>
    <t>Wydatki na spłatę zobowiązań przejmowanych w związku z likwidacją lub przekształceniem samodzielnego publicznego zakładu opieki zdrowotnej</t>
  </si>
  <si>
    <t>10.4</t>
  </si>
  <si>
    <t>Kwota zobowiązań związku współtworzonego przez jednostkę samorządu terytorialnego przypadających do spłaty w danym roku budżetowym, podlegająca doliczeniu zgodnie z art. 244 ustawy</t>
  </si>
  <si>
    <t>10.5</t>
  </si>
  <si>
    <t>Kwota zobowiązań wynikających z przejęcia przez jednostkę samorządu terytorialnego zobowiązań po likwidowanych i przekształcanych samorządowych osobach prawnych</t>
  </si>
  <si>
    <t>10.6</t>
  </si>
  <si>
    <t>Spłaty, o których mowa w poz. 5.1., wynikające wyłącznie z tytułu zobowiązań już zaciągniętych</t>
  </si>
  <si>
    <t>10.7</t>
  </si>
  <si>
    <t>Wydatki zmniejszające dług, w tym:</t>
  </si>
  <si>
    <t>10.7.1</t>
  </si>
  <si>
    <t>spłata zobowiązań wymagalnych z lat poprzednich, innych niż w poz. 10.7.3</t>
  </si>
  <si>
    <t>10.7.2</t>
  </si>
  <si>
    <t>spłata zobowiązań zaliczanych do tytułu dłużnego – kredyt i pożyczka, w tym:</t>
  </si>
  <si>
    <t>10.7.2.1</t>
  </si>
  <si>
    <t>zobowiązań zaciągniętych po dniu 1 stycznia 2019 r.</t>
  </si>
  <si>
    <t>10.7.2.1.1</t>
  </si>
  <si>
    <t>dokonywana w formie wydatku bieżącego</t>
  </si>
  <si>
    <t>10.7.3</t>
  </si>
  <si>
    <t>wypłaty z tytułu wymagalnych poręczeń i gwarancji</t>
  </si>
  <si>
    <t>10.8</t>
  </si>
  <si>
    <t>Kwota wzrostu(+)/spadku(−) kwoty długu wynikająca z operacji niekasowych (m.in. umorzenia, różnice kursowe)</t>
  </si>
  <si>
    <t>10.9</t>
  </si>
  <si>
    <t>Wcześniejsza spłata zobowiązań, wyłączona z limitu spłaty zobowiązań, dokonywana w formie wydatków budżetowych</t>
  </si>
  <si>
    <t>11</t>
  </si>
  <si>
    <t>Dane dotyczące emitowanych obligacji przychodowych</t>
  </si>
  <si>
    <t>11.1</t>
  </si>
  <si>
    <t>Środki z przedsięwzięcia gromadzone na rachunku bankowym, w tym:</t>
  </si>
  <si>
    <t>11.1.1</t>
  </si>
  <si>
    <t>środki na zaspokojenie roszczeń obligatariuszy</t>
  </si>
  <si>
    <t>11.2</t>
  </si>
  <si>
    <t>Wydatki bieżące z tytułu świadczenia emitenta należnego obligatariuszom, nieuwzględniane w limicie spłaty zobowiązań</t>
  </si>
  <si>
    <t>13</t>
  </si>
  <si>
    <t>Rozliczenie budżetu</t>
  </si>
  <si>
    <t>Wykonanie</t>
  </si>
  <si>
    <t>Nazwa i cel</t>
  </si>
  <si>
    <t>Jednostka</t>
  </si>
  <si>
    <t>Od</t>
  </si>
  <si>
    <t>Do</t>
  </si>
  <si>
    <t>Nakłady</t>
  </si>
  <si>
    <t>Plan na 1.01.2020 r.</t>
  </si>
  <si>
    <t>Plan po zmianach na 30.06.2020 r.</t>
  </si>
  <si>
    <t>Stopień realizacji w I półroczu 2020 r.</t>
  </si>
  <si>
    <t>Limit zobowiązań</t>
  </si>
  <si>
    <t>Uwagi</t>
  </si>
  <si>
    <t>Przedsięwzięcia razem</t>
  </si>
  <si>
    <t>1.a</t>
  </si>
  <si>
    <t>- wydatki bieżące</t>
  </si>
  <si>
    <t>1.b</t>
  </si>
  <si>
    <t>- wydatki majątkowe</t>
  </si>
  <si>
    <t>Wydatki na programy, projekty lub zadania związane z programami realizowanymi z udziałem środków, o których mowa w art.5 ust.1 pkt 2 i 3 ustawy z dnia 27 sierpnia 2009.r. o finansach publicznych (Dz.U.Nr 157, poz.1240,z późn.zm.):</t>
  </si>
  <si>
    <t>1.1.2.1</t>
  </si>
  <si>
    <t xml:space="preserve">budowa kanalizacji sanitarnej wraz z przyłączem do m. Reczyce i Gudzisz - </t>
  </si>
  <si>
    <t>Urząd Gminy Boleszkowice</t>
  </si>
  <si>
    <t>1.1.2.2</t>
  </si>
  <si>
    <t xml:space="preserve">Remont i modernizacja ulicy Artylerzystów w Boleszkowicach - </t>
  </si>
  <si>
    <t>Wydatki na programy, projekty lub zadania związane z umowami partnerstwa publiczno-prywatnego:</t>
  </si>
  <si>
    <t>1.3</t>
  </si>
  <si>
    <t>Wydatki na programy, projekty lub zadania pozostałe (inne niż wymienione w pkt 1.1 i 1.2):</t>
  </si>
  <si>
    <t>1.3.1</t>
  </si>
  <si>
    <t>1.3.2</t>
  </si>
  <si>
    <t>1.3.2.1</t>
  </si>
  <si>
    <t>Modernizacja i rozbudowa stacji ujęć wody w m. Chwarszczany  (budowa dwóch studni i modernizacja stacji) - Poprawa jakości życia mieszkańców</t>
  </si>
  <si>
    <t>1.3.2.2</t>
  </si>
  <si>
    <t xml:space="preserve">Rekultywacja wysypiska śmieci - </t>
  </si>
  <si>
    <t>1.3.2.3</t>
  </si>
  <si>
    <t xml:space="preserve">Usuwanie wyrobów zawierajacych azbest z terenu gminy Boleszkowice - </t>
  </si>
  <si>
    <t>Załącznik Nr 1 do informacji o ksztatowaniu WPF Gminy Boleszkowice za I półrocze 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</si>
</sst>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Calibri"/>
    </font>
    <font>
      <sz val="8"/>
      <name val="Times New Roman"/>
    </font>
    <font>
      <b/>
      <sz val="8"/>
      <name val="Times New Roman"/>
    </font>
    <font>
      <b/>
      <sz val="8"/>
      <color rgb="FFFF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EAEAEA"/>
      </patternFill>
    </fill>
    <fill>
      <patternFill patternType="solid">
        <fgColor rgb="FFADD8E6"/>
      </patternFill>
    </fill>
    <fill>
      <patternFill patternType="solid">
        <fgColor rgb="FFFFFFFF"/>
      </patternFill>
    </fill>
    <fill>
      <patternFill patternType="solid">
        <fgColor rgb="FFADFF2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wrapText="1"/>
    </xf>
    <xf numFmtId="4" fontId="2" fillId="3" borderId="1" xfId="0" applyNumberFormat="1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horizontal="right" vertical="center"/>
    </xf>
    <xf numFmtId="10" fontId="2" fillId="4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vertical="center"/>
    </xf>
    <xf numFmtId="4" fontId="1" fillId="3" borderId="1" xfId="0" applyNumberFormat="1" applyFont="1" applyFill="1" applyBorder="1" applyAlignment="1">
      <alignment vertical="center" wrapText="1"/>
    </xf>
    <xf numFmtId="4" fontId="1" fillId="5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10" fontId="1" fillId="4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/>
    </xf>
    <xf numFmtId="4" fontId="2" fillId="5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10" fontId="1" fillId="3" borderId="1" xfId="0" applyNumberFormat="1" applyFont="1" applyFill="1" applyBorder="1" applyAlignment="1">
      <alignment vertical="center"/>
    </xf>
    <xf numFmtId="10" fontId="1" fillId="3" borderId="1" xfId="0" applyNumberFormat="1" applyFont="1" applyFill="1" applyBorder="1" applyAlignment="1">
      <alignment vertical="center" wrapText="1"/>
    </xf>
    <xf numFmtId="10" fontId="1" fillId="3" borderId="1" xfId="0" applyNumberFormat="1" applyFont="1" applyFill="1" applyBorder="1" applyAlignment="1">
      <alignment horizontal="right" vertical="center"/>
    </xf>
    <xf numFmtId="4" fontId="2" fillId="6" borderId="1" xfId="0" applyNumberFormat="1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  <xf numFmtId="4" fontId="1" fillId="6" borderId="1" xfId="0" applyNumberFormat="1" applyFont="1" applyFill="1" applyBorder="1" applyAlignment="1">
      <alignment horizontal="center" vertical="center"/>
    </xf>
    <xf numFmtId="10" fontId="1" fillId="4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vertical="center"/>
    </xf>
    <xf numFmtId="4" fontId="3" fillId="3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horizontal="right" vertical="center"/>
    </xf>
    <xf numFmtId="10" fontId="3" fillId="4" borderId="1" xfId="0" applyNumberFormat="1" applyFont="1" applyFill="1" applyBorder="1" applyAlignment="1">
      <alignment horizontal="right" vertical="center"/>
    </xf>
    <xf numFmtId="4" fontId="2" fillId="3" borderId="1" xfId="0" applyNumberFormat="1" applyFont="1" applyFill="1" applyBorder="1" applyAlignment="1">
      <alignment horizontal="right" vertical="center" wrapText="1"/>
    </xf>
    <xf numFmtId="4" fontId="1" fillId="5" borderId="1" xfId="0" applyNumberFormat="1" applyFont="1" applyFill="1" applyBorder="1" applyAlignment="1">
      <alignment vertical="center" wrapText="1"/>
    </xf>
    <xf numFmtId="4" fontId="1" fillId="5" borderId="1" xfId="0" applyNumberFormat="1" applyFont="1" applyFill="1" applyBorder="1" applyAlignment="1">
      <alignment horizontal="right" vertical="center" wrapText="1"/>
    </xf>
    <xf numFmtId="1" fontId="2" fillId="3" borderId="1" xfId="0" applyNumberFormat="1" applyFont="1" applyFill="1" applyBorder="1" applyAlignment="1">
      <alignment vertical="center"/>
    </xf>
    <xf numFmtId="1" fontId="1" fillId="5" borderId="1" xfId="0" applyNumberFormat="1" applyFont="1" applyFill="1" applyBorder="1" applyAlignment="1">
      <alignment vertical="center"/>
    </xf>
    <xf numFmtId="0" fontId="0" fillId="0" borderId="0" xfId="0" applyAlignment="1"/>
    <xf numFmtId="4" fontId="2" fillId="3" borderId="1" xfId="0" applyNumberFormat="1" applyFont="1" applyFill="1" applyBorder="1" applyAlignment="1">
      <alignment horizontal="right" vertical="center"/>
    </xf>
    <xf numFmtId="10" fontId="2" fillId="4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12"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workbookViewId="0">
      <pane xSplit="1" ySplit="2" topLeftCell="B1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7.140625" customWidth="1"/>
    <col min="2" max="2" width="42.85546875" customWidth="1"/>
    <col min="3" max="6" width="14.28515625" hidden="1" customWidth="1"/>
    <col min="7" max="9" width="14.28515625" customWidth="1"/>
    <col min="10" max="10" width="11.42578125" customWidth="1"/>
    <col min="11" max="20" width="14.28515625" hidden="1" customWidth="1"/>
  </cols>
  <sheetData>
    <row r="1" spans="1:20" x14ac:dyDescent="0.25">
      <c r="A1" s="30" t="s">
        <v>242</v>
      </c>
    </row>
    <row r="2" spans="1:20" ht="43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</row>
    <row r="3" spans="1:20" ht="39.950000000000003" customHeight="1" x14ac:dyDescent="0.25">
      <c r="A3" s="2" t="s">
        <v>20</v>
      </c>
      <c r="B3" s="3" t="s">
        <v>21</v>
      </c>
      <c r="C3" s="4">
        <v>14427362.66</v>
      </c>
      <c r="D3" s="4">
        <v>16476365.720000001</v>
      </c>
      <c r="E3" s="4">
        <v>15726704.710000001</v>
      </c>
      <c r="F3" s="4">
        <v>14431594.689999999</v>
      </c>
      <c r="G3" s="4">
        <v>19513709</v>
      </c>
      <c r="H3" s="4">
        <v>20367680.239999998</v>
      </c>
      <c r="I3" s="4">
        <v>8349497.5700000003</v>
      </c>
      <c r="J3" s="5">
        <f t="shared" ref="J3:J10" si="0">IF($H3=0,0,$I3/$H3)</f>
        <v>0.40993856303784948</v>
      </c>
      <c r="K3" s="4">
        <v>17821200</v>
      </c>
      <c r="L3" s="4">
        <v>17802900</v>
      </c>
      <c r="M3" s="4">
        <v>18327969</v>
      </c>
      <c r="N3" s="4">
        <v>18771809</v>
      </c>
      <c r="O3" s="4">
        <v>19231963</v>
      </c>
      <c r="P3" s="4">
        <v>19808922</v>
      </c>
      <c r="Q3" s="4">
        <v>20383380</v>
      </c>
      <c r="R3" s="4">
        <v>20954114</v>
      </c>
      <c r="S3" s="4">
        <v>21519875</v>
      </c>
      <c r="T3" s="4">
        <v>22100911</v>
      </c>
    </row>
    <row r="4" spans="1:20" ht="39.950000000000003" customHeight="1" x14ac:dyDescent="0.25">
      <c r="A4" s="2" t="s">
        <v>22</v>
      </c>
      <c r="B4" s="3" t="s">
        <v>23</v>
      </c>
      <c r="C4" s="4">
        <v>14111319.92</v>
      </c>
      <c r="D4" s="4">
        <v>15633391.66</v>
      </c>
      <c r="E4" s="4">
        <v>14526762.710000001</v>
      </c>
      <c r="F4" s="4">
        <v>13805402.34</v>
      </c>
      <c r="G4" s="4">
        <v>16461509</v>
      </c>
      <c r="H4" s="4">
        <v>17040393.239999998</v>
      </c>
      <c r="I4" s="4">
        <v>7959807.1699999999</v>
      </c>
      <c r="J4" s="5">
        <f t="shared" si="0"/>
        <v>0.46711405411205176</v>
      </c>
      <c r="K4" s="4">
        <v>17121200</v>
      </c>
      <c r="L4" s="4">
        <v>17582900</v>
      </c>
      <c r="M4" s="4">
        <v>18127969</v>
      </c>
      <c r="N4" s="4">
        <v>18671809</v>
      </c>
      <c r="O4" s="4">
        <v>19231963</v>
      </c>
      <c r="P4" s="4">
        <v>19808922</v>
      </c>
      <c r="Q4" s="4">
        <v>20383380</v>
      </c>
      <c r="R4" s="4">
        <v>20954114</v>
      </c>
      <c r="S4" s="4">
        <v>21519875</v>
      </c>
      <c r="T4" s="4">
        <v>22100911</v>
      </c>
    </row>
    <row r="5" spans="1:20" ht="39.950000000000003" customHeight="1" x14ac:dyDescent="0.25">
      <c r="A5" s="6" t="s">
        <v>24</v>
      </c>
      <c r="B5" s="7" t="s">
        <v>25</v>
      </c>
      <c r="C5" s="8">
        <v>1523449</v>
      </c>
      <c r="D5" s="8">
        <v>1570533</v>
      </c>
      <c r="E5" s="8">
        <v>1768441</v>
      </c>
      <c r="F5" s="8">
        <v>1785166</v>
      </c>
      <c r="G5" s="8">
        <v>1776148</v>
      </c>
      <c r="H5" s="9">
        <v>1776148</v>
      </c>
      <c r="I5" s="8">
        <v>759655</v>
      </c>
      <c r="J5" s="10">
        <f t="shared" si="0"/>
        <v>0.4276980296686988</v>
      </c>
      <c r="K5" s="9">
        <v>1886537</v>
      </c>
      <c r="L5" s="9">
        <v>1897143</v>
      </c>
      <c r="M5" s="9">
        <v>1955954</v>
      </c>
      <c r="N5" s="9">
        <v>2014633</v>
      </c>
      <c r="O5" s="9">
        <v>2075072</v>
      </c>
      <c r="P5" s="9">
        <v>2137324</v>
      </c>
      <c r="Q5" s="9">
        <v>2199306</v>
      </c>
      <c r="R5" s="9">
        <v>2260887</v>
      </c>
      <c r="S5" s="9">
        <v>2321931</v>
      </c>
      <c r="T5" s="9">
        <v>2384623</v>
      </c>
    </row>
    <row r="6" spans="1:20" ht="39.950000000000003" customHeight="1" x14ac:dyDescent="0.25">
      <c r="A6" s="6" t="s">
        <v>26</v>
      </c>
      <c r="B6" s="7" t="s">
        <v>27</v>
      </c>
      <c r="C6" s="8">
        <v>15441.57</v>
      </c>
      <c r="D6" s="8">
        <v>11641.47</v>
      </c>
      <c r="E6" s="8">
        <v>15000</v>
      </c>
      <c r="F6" s="8">
        <v>8968.68</v>
      </c>
      <c r="G6" s="8">
        <v>15000</v>
      </c>
      <c r="H6" s="9">
        <v>15000</v>
      </c>
      <c r="I6" s="8">
        <v>9017.26</v>
      </c>
      <c r="J6" s="10">
        <f t="shared" si="0"/>
        <v>0.60115066666666672</v>
      </c>
      <c r="K6" s="9">
        <v>15510</v>
      </c>
      <c r="L6" s="9">
        <v>16022</v>
      </c>
      <c r="M6" s="9">
        <v>16519</v>
      </c>
      <c r="N6" s="9">
        <v>17015</v>
      </c>
      <c r="O6" s="9">
        <v>17525</v>
      </c>
      <c r="P6" s="9">
        <v>18051</v>
      </c>
      <c r="Q6" s="9">
        <v>18574</v>
      </c>
      <c r="R6" s="9">
        <v>19094</v>
      </c>
      <c r="S6" s="9">
        <v>19610</v>
      </c>
      <c r="T6" s="9">
        <v>20139</v>
      </c>
    </row>
    <row r="7" spans="1:20" ht="39.950000000000003" customHeight="1" x14ac:dyDescent="0.25">
      <c r="A7" s="6" t="s">
        <v>28</v>
      </c>
      <c r="B7" s="7" t="s">
        <v>29</v>
      </c>
      <c r="C7" s="8">
        <v>3064934</v>
      </c>
      <c r="D7" s="8">
        <v>3365531</v>
      </c>
      <c r="E7" s="8">
        <v>3523600</v>
      </c>
      <c r="F7" s="8">
        <v>3334375</v>
      </c>
      <c r="G7" s="8">
        <v>3378957</v>
      </c>
      <c r="H7" s="9">
        <v>3378957</v>
      </c>
      <c r="I7" s="8">
        <v>1979110</v>
      </c>
      <c r="J7" s="10">
        <f t="shared" si="0"/>
        <v>0.5857162432075933</v>
      </c>
      <c r="K7" s="9">
        <v>3493842</v>
      </c>
      <c r="L7" s="9">
        <v>3609139</v>
      </c>
      <c r="M7" s="9">
        <v>3721022</v>
      </c>
      <c r="N7" s="9">
        <v>3832653</v>
      </c>
      <c r="O7" s="9">
        <v>3947633</v>
      </c>
      <c r="P7" s="9">
        <v>4066062</v>
      </c>
      <c r="Q7" s="9">
        <v>4183978</v>
      </c>
      <c r="R7" s="9">
        <v>4301129</v>
      </c>
      <c r="S7" s="9">
        <v>4417259</v>
      </c>
      <c r="T7" s="9">
        <v>4536525</v>
      </c>
    </row>
    <row r="8" spans="1:20" ht="39.950000000000003" customHeight="1" x14ac:dyDescent="0.25">
      <c r="A8" s="6" t="s">
        <v>30</v>
      </c>
      <c r="B8" s="7" t="s">
        <v>31</v>
      </c>
      <c r="C8" s="8">
        <v>4428644.1500000004</v>
      </c>
      <c r="D8" s="8">
        <v>4514731.25</v>
      </c>
      <c r="E8" s="8">
        <v>4096226.71</v>
      </c>
      <c r="F8" s="8">
        <v>4995574.5999999996</v>
      </c>
      <c r="G8" s="8">
        <v>5815581</v>
      </c>
      <c r="H8" s="9">
        <v>6394465.2400000002</v>
      </c>
      <c r="I8" s="8">
        <v>2943681.34</v>
      </c>
      <c r="J8" s="10">
        <f t="shared" si="0"/>
        <v>0.4603483214805934</v>
      </c>
      <c r="K8" s="9">
        <v>6013311</v>
      </c>
      <c r="L8" s="9">
        <v>6211750</v>
      </c>
      <c r="M8" s="9">
        <v>6404314</v>
      </c>
      <c r="N8" s="9">
        <v>6596443</v>
      </c>
      <c r="O8" s="9">
        <v>6794336</v>
      </c>
      <c r="P8" s="9">
        <v>6998166</v>
      </c>
      <c r="Q8" s="9">
        <v>7201113</v>
      </c>
      <c r="R8" s="9">
        <v>7402744</v>
      </c>
      <c r="S8" s="9">
        <v>7602618</v>
      </c>
      <c r="T8" s="9">
        <v>7807889</v>
      </c>
    </row>
    <row r="9" spans="1:20" ht="39.950000000000003" customHeight="1" x14ac:dyDescent="0.25">
      <c r="A9" s="6" t="s">
        <v>32</v>
      </c>
      <c r="B9" s="7" t="s">
        <v>33</v>
      </c>
      <c r="C9" s="8">
        <v>5078851.2</v>
      </c>
      <c r="D9" s="8">
        <v>6170954.9400000004</v>
      </c>
      <c r="E9" s="8">
        <v>5123495</v>
      </c>
      <c r="F9" s="8">
        <v>3681318.06</v>
      </c>
      <c r="G9" s="8">
        <v>5475823</v>
      </c>
      <c r="H9" s="9">
        <v>5475823</v>
      </c>
      <c r="I9" s="8">
        <v>2268343.5699999998</v>
      </c>
      <c r="J9" s="10">
        <f t="shared" si="0"/>
        <v>0.41424705838738757</v>
      </c>
      <c r="K9" s="9">
        <v>5712000</v>
      </c>
      <c r="L9" s="9">
        <v>5848846</v>
      </c>
      <c r="M9" s="9">
        <v>6030160</v>
      </c>
      <c r="N9" s="9">
        <v>6211065</v>
      </c>
      <c r="O9" s="9">
        <v>6397397</v>
      </c>
      <c r="P9" s="9">
        <v>6589319</v>
      </c>
      <c r="Q9" s="9">
        <v>6780409</v>
      </c>
      <c r="R9" s="9">
        <v>6970260</v>
      </c>
      <c r="S9" s="9">
        <v>7158457</v>
      </c>
      <c r="T9" s="9">
        <v>7351735</v>
      </c>
    </row>
    <row r="10" spans="1:20" ht="39.950000000000003" customHeight="1" x14ac:dyDescent="0.25">
      <c r="A10" s="6" t="s">
        <v>34</v>
      </c>
      <c r="B10" s="7" t="s">
        <v>35</v>
      </c>
      <c r="C10" s="8">
        <v>3591311.29</v>
      </c>
      <c r="D10" s="8">
        <v>4595712.33</v>
      </c>
      <c r="E10" s="8">
        <v>3301255</v>
      </c>
      <c r="F10" s="8">
        <v>1941785.99</v>
      </c>
      <c r="G10" s="8">
        <v>3375532</v>
      </c>
      <c r="H10" s="9">
        <v>3375532</v>
      </c>
      <c r="I10" s="8">
        <v>1457016.9</v>
      </c>
      <c r="J10" s="10">
        <f t="shared" si="0"/>
        <v>0.43164067175188975</v>
      </c>
      <c r="K10" s="9">
        <v>3540300</v>
      </c>
      <c r="L10" s="9">
        <v>3605480</v>
      </c>
      <c r="M10" s="9">
        <v>3717250</v>
      </c>
      <c r="N10" s="9">
        <v>3828768</v>
      </c>
      <c r="O10" s="9">
        <v>3943631</v>
      </c>
      <c r="P10" s="9">
        <v>4061940</v>
      </c>
      <c r="Q10" s="9">
        <v>4179736</v>
      </c>
      <c r="R10" s="9">
        <v>4296769</v>
      </c>
      <c r="S10" s="9">
        <v>4412782</v>
      </c>
      <c r="T10" s="9">
        <v>4531927</v>
      </c>
    </row>
    <row r="11" spans="1:20" hidden="1" x14ac:dyDescent="0.25">
      <c r="A11" s="6" t="s">
        <v>36</v>
      </c>
      <c r="B11" s="7" t="s">
        <v>37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9">
        <v>0</v>
      </c>
      <c r="I11" s="8">
        <v>0</v>
      </c>
      <c r="J11" s="10"/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ht="39.950000000000003" customHeight="1" x14ac:dyDescent="0.25">
      <c r="A12" s="2" t="s">
        <v>38</v>
      </c>
      <c r="B12" s="3" t="s">
        <v>39</v>
      </c>
      <c r="C12" s="4">
        <v>316042.74</v>
      </c>
      <c r="D12" s="4">
        <v>842974.06</v>
      </c>
      <c r="E12" s="4">
        <v>1199942</v>
      </c>
      <c r="F12" s="4">
        <v>626192.35</v>
      </c>
      <c r="G12" s="4">
        <v>3052200</v>
      </c>
      <c r="H12" s="4">
        <v>3327287</v>
      </c>
      <c r="I12" s="4">
        <v>389690.4</v>
      </c>
      <c r="J12" s="5">
        <f>IF($H12=0,0,$I12/$H12)</f>
        <v>0.11711956317564431</v>
      </c>
      <c r="K12" s="4">
        <v>700000</v>
      </c>
      <c r="L12" s="4">
        <v>220000</v>
      </c>
      <c r="M12" s="4">
        <v>200000</v>
      </c>
      <c r="N12" s="4">
        <v>100000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</row>
    <row r="13" spans="1:20" ht="39.950000000000003" customHeight="1" x14ac:dyDescent="0.25">
      <c r="A13" s="6" t="s">
        <v>40</v>
      </c>
      <c r="B13" s="7" t="s">
        <v>41</v>
      </c>
      <c r="C13" s="8">
        <v>316042.74</v>
      </c>
      <c r="D13" s="8">
        <v>338465.74</v>
      </c>
      <c r="E13" s="8">
        <v>300000</v>
      </c>
      <c r="F13" s="8">
        <v>506201.83</v>
      </c>
      <c r="G13" s="8">
        <v>400000</v>
      </c>
      <c r="H13" s="9">
        <v>421437</v>
      </c>
      <c r="I13" s="8">
        <v>36641.4</v>
      </c>
      <c r="J13" s="10">
        <f>IF($H13=0,0,$I13/$H13)</f>
        <v>8.6943956036133516E-2</v>
      </c>
      <c r="K13" s="9">
        <v>400000</v>
      </c>
      <c r="L13" s="9">
        <v>200000</v>
      </c>
      <c r="M13" s="9">
        <v>200000</v>
      </c>
      <c r="N13" s="9">
        <v>100000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ht="39.950000000000003" customHeight="1" x14ac:dyDescent="0.25">
      <c r="A14" s="6" t="s">
        <v>42</v>
      </c>
      <c r="B14" s="7" t="s">
        <v>43</v>
      </c>
      <c r="C14" s="8">
        <v>0</v>
      </c>
      <c r="D14" s="8">
        <v>504508.32</v>
      </c>
      <c r="E14" s="8">
        <v>899942</v>
      </c>
      <c r="F14" s="8">
        <v>119990.52</v>
      </c>
      <c r="G14" s="8">
        <v>2652200</v>
      </c>
      <c r="H14" s="9">
        <v>2905850</v>
      </c>
      <c r="I14" s="8">
        <v>353049</v>
      </c>
      <c r="J14" s="10">
        <f>IF($H14=0,0,$I14/$H14)</f>
        <v>0.12149594782937867</v>
      </c>
      <c r="K14" s="9">
        <v>300000</v>
      </c>
      <c r="L14" s="9">
        <v>20000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hidden="1" x14ac:dyDescent="0.25">
      <c r="A15" s="6" t="s">
        <v>44</v>
      </c>
      <c r="B15" s="7" t="s">
        <v>37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9">
        <v>0</v>
      </c>
      <c r="I15" s="8">
        <v>0</v>
      </c>
      <c r="J15" s="10"/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ht="39.950000000000003" customHeight="1" x14ac:dyDescent="0.25">
      <c r="A16" s="2" t="s">
        <v>45</v>
      </c>
      <c r="B16" s="3" t="s">
        <v>46</v>
      </c>
      <c r="C16" s="4">
        <v>13972288.039999999</v>
      </c>
      <c r="D16" s="4">
        <v>15325813.199999999</v>
      </c>
      <c r="E16" s="4">
        <v>19891975.91</v>
      </c>
      <c r="F16" s="4">
        <v>15690002.93</v>
      </c>
      <c r="G16" s="4">
        <v>22953088.809999999</v>
      </c>
      <c r="H16" s="4">
        <v>24003592.25</v>
      </c>
      <c r="I16" s="4">
        <v>13779151.41</v>
      </c>
      <c r="J16" s="5">
        <f t="shared" ref="J16:J21" si="1">IF($H16=0,0,$I16/$H16)</f>
        <v>0.57404538731072641</v>
      </c>
      <c r="K16" s="4">
        <v>17317235</v>
      </c>
      <c r="L16" s="4">
        <v>17469721.16</v>
      </c>
      <c r="M16" s="4">
        <v>17900986</v>
      </c>
      <c r="N16" s="4">
        <v>18244826</v>
      </c>
      <c r="O16" s="4">
        <v>18620980</v>
      </c>
      <c r="P16" s="4">
        <v>19297939</v>
      </c>
      <c r="Q16" s="4">
        <v>19862397</v>
      </c>
      <c r="R16" s="4">
        <v>20533131</v>
      </c>
      <c r="S16" s="4">
        <v>21104833.559999999</v>
      </c>
      <c r="T16" s="4">
        <v>21897357.940000001</v>
      </c>
    </row>
    <row r="17" spans="1:20" ht="39.950000000000003" customHeight="1" x14ac:dyDescent="0.25">
      <c r="A17" s="2" t="s">
        <v>47</v>
      </c>
      <c r="B17" s="3" t="s">
        <v>48</v>
      </c>
      <c r="C17" s="4">
        <v>13511925.880000001</v>
      </c>
      <c r="D17" s="4">
        <v>14148492.880000001</v>
      </c>
      <c r="E17" s="4">
        <v>14716649.43</v>
      </c>
      <c r="F17" s="4">
        <v>14631829.470000001</v>
      </c>
      <c r="G17" s="4">
        <v>16461008</v>
      </c>
      <c r="H17" s="4">
        <v>17231925.440000001</v>
      </c>
      <c r="I17" s="4">
        <v>8156188.4100000001</v>
      </c>
      <c r="J17" s="5">
        <f t="shared" si="1"/>
        <v>0.47331845987838717</v>
      </c>
      <c r="K17" s="4">
        <v>16668875</v>
      </c>
      <c r="L17" s="4">
        <v>16855878</v>
      </c>
      <c r="M17" s="4">
        <v>17046939</v>
      </c>
      <c r="N17" s="4">
        <v>17242650</v>
      </c>
      <c r="O17" s="4">
        <v>17439394</v>
      </c>
      <c r="P17" s="4">
        <v>17637202</v>
      </c>
      <c r="Q17" s="4">
        <v>17837720</v>
      </c>
      <c r="R17" s="4">
        <v>18040983</v>
      </c>
      <c r="S17" s="4">
        <v>18247026</v>
      </c>
      <c r="T17" s="4">
        <v>18463715</v>
      </c>
    </row>
    <row r="18" spans="1:20" ht="39.950000000000003" customHeight="1" x14ac:dyDescent="0.25">
      <c r="A18" s="6" t="s">
        <v>49</v>
      </c>
      <c r="B18" s="7" t="s">
        <v>50</v>
      </c>
      <c r="C18" s="8">
        <v>5978884.7599999998</v>
      </c>
      <c r="D18" s="8">
        <v>6538887.25</v>
      </c>
      <c r="E18" s="8">
        <v>7015826.6699999999</v>
      </c>
      <c r="F18" s="8">
        <v>6703618.4100000001</v>
      </c>
      <c r="G18" s="8">
        <v>7338452</v>
      </c>
      <c r="H18" s="9">
        <v>7386494.0300000003</v>
      </c>
      <c r="I18" s="8">
        <v>3724700.25</v>
      </c>
      <c r="J18" s="10">
        <f t="shared" si="1"/>
        <v>0.50425820895166962</v>
      </c>
      <c r="K18" s="9">
        <v>7430183</v>
      </c>
      <c r="L18" s="9">
        <v>7523060</v>
      </c>
      <c r="M18" s="9">
        <v>7617098</v>
      </c>
      <c r="N18" s="9">
        <v>7712312</v>
      </c>
      <c r="O18" s="9">
        <v>7808716</v>
      </c>
      <c r="P18" s="9">
        <v>7906325</v>
      </c>
      <c r="Q18" s="9">
        <v>8005154</v>
      </c>
      <c r="R18" s="9">
        <v>8105218</v>
      </c>
      <c r="S18" s="9">
        <v>8206533</v>
      </c>
      <c r="T18" s="9">
        <v>8309115</v>
      </c>
    </row>
    <row r="19" spans="1:20" ht="14.25" customHeight="1" x14ac:dyDescent="0.25">
      <c r="A19" s="6" t="s">
        <v>51</v>
      </c>
      <c r="B19" s="7" t="s">
        <v>52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0">
        <f t="shared" si="1"/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</row>
    <row r="20" spans="1:20" ht="27" customHeight="1" x14ac:dyDescent="0.25">
      <c r="A20" s="6" t="s">
        <v>53</v>
      </c>
      <c r="B20" s="7" t="s">
        <v>54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0">
        <f t="shared" si="1"/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ht="39.950000000000003" customHeight="1" x14ac:dyDescent="0.25">
      <c r="A21" s="6" t="s">
        <v>55</v>
      </c>
      <c r="B21" s="7" t="s">
        <v>56</v>
      </c>
      <c r="C21" s="11">
        <v>46379.22</v>
      </c>
      <c r="D21" s="11">
        <v>34603.67</v>
      </c>
      <c r="E21" s="11">
        <v>50000</v>
      </c>
      <c r="F21" s="11">
        <v>24391.79</v>
      </c>
      <c r="G21" s="11">
        <v>155711</v>
      </c>
      <c r="H21" s="11">
        <v>155711</v>
      </c>
      <c r="I21" s="11">
        <v>23025.55</v>
      </c>
      <c r="J21" s="10">
        <f t="shared" si="1"/>
        <v>0.14787362485630431</v>
      </c>
      <c r="K21" s="11">
        <v>159761</v>
      </c>
      <c r="L21" s="11">
        <v>140400</v>
      </c>
      <c r="M21" s="11">
        <v>122518</v>
      </c>
      <c r="N21" s="11">
        <v>106673</v>
      </c>
      <c r="O21" s="11">
        <v>89217</v>
      </c>
      <c r="P21" s="11">
        <v>70148</v>
      </c>
      <c r="Q21" s="11">
        <v>51078</v>
      </c>
      <c r="R21" s="11">
        <v>32008</v>
      </c>
      <c r="S21" s="11">
        <v>12939</v>
      </c>
      <c r="T21" s="11">
        <v>1702</v>
      </c>
    </row>
    <row r="22" spans="1:20" hidden="1" x14ac:dyDescent="0.25">
      <c r="A22" s="6" t="s">
        <v>57</v>
      </c>
      <c r="B22" s="7" t="s">
        <v>58</v>
      </c>
      <c r="C22" s="11">
        <v>46379.22</v>
      </c>
      <c r="D22" s="11">
        <v>34603.67</v>
      </c>
      <c r="E22" s="11">
        <v>50000</v>
      </c>
      <c r="F22" s="11">
        <v>24391.79</v>
      </c>
      <c r="G22" s="11">
        <v>155711</v>
      </c>
      <c r="H22" s="11">
        <v>155711</v>
      </c>
      <c r="I22" s="11">
        <v>23025.55</v>
      </c>
      <c r="J22" s="10"/>
      <c r="K22" s="11">
        <v>159761</v>
      </c>
      <c r="L22" s="11">
        <v>140400</v>
      </c>
      <c r="M22" s="11">
        <v>122518</v>
      </c>
      <c r="N22" s="11">
        <v>106673</v>
      </c>
      <c r="O22" s="11">
        <v>89217</v>
      </c>
      <c r="P22" s="11">
        <v>70148</v>
      </c>
      <c r="Q22" s="11">
        <v>51078</v>
      </c>
      <c r="R22" s="11">
        <v>32008</v>
      </c>
      <c r="S22" s="11">
        <v>12939</v>
      </c>
      <c r="T22" s="11">
        <v>1702</v>
      </c>
    </row>
    <row r="23" spans="1:20" ht="65.650000000000006" customHeight="1" x14ac:dyDescent="0.25">
      <c r="A23" s="6" t="s">
        <v>59</v>
      </c>
      <c r="B23" s="7" t="s">
        <v>60</v>
      </c>
      <c r="C23" s="11">
        <v>0</v>
      </c>
      <c r="D23" s="11">
        <v>0</v>
      </c>
      <c r="E23" s="11">
        <v>0</v>
      </c>
      <c r="F23" s="11">
        <v>0</v>
      </c>
      <c r="G23" s="11">
        <v>40000</v>
      </c>
      <c r="H23" s="11">
        <v>40000</v>
      </c>
      <c r="I23" s="11">
        <v>0</v>
      </c>
      <c r="J23" s="10">
        <f>IF($H23=0,0,$I23/$H23)</f>
        <v>0</v>
      </c>
      <c r="K23" s="11">
        <v>26451</v>
      </c>
      <c r="L23" s="11">
        <v>22848</v>
      </c>
      <c r="M23" s="11">
        <v>19332</v>
      </c>
      <c r="N23" s="11">
        <v>15818</v>
      </c>
      <c r="O23" s="11">
        <v>12302</v>
      </c>
      <c r="P23" s="11">
        <v>8788</v>
      </c>
      <c r="Q23" s="11">
        <v>5272</v>
      </c>
      <c r="R23" s="11">
        <v>1758</v>
      </c>
      <c r="S23" s="11">
        <v>0</v>
      </c>
      <c r="T23" s="11">
        <v>0</v>
      </c>
    </row>
    <row r="24" spans="1:20" ht="39.950000000000003" customHeight="1" x14ac:dyDescent="0.25">
      <c r="A24" s="6" t="s">
        <v>61</v>
      </c>
      <c r="B24" s="7" t="s">
        <v>62</v>
      </c>
      <c r="C24" s="11">
        <v>0</v>
      </c>
      <c r="D24" s="11">
        <v>0</v>
      </c>
      <c r="E24" s="11">
        <v>0</v>
      </c>
      <c r="F24" s="11">
        <v>0</v>
      </c>
      <c r="G24" s="11">
        <v>36523</v>
      </c>
      <c r="H24" s="11">
        <v>36523</v>
      </c>
      <c r="I24" s="11">
        <v>0</v>
      </c>
      <c r="J24" s="10">
        <f>IF($H24=0,0,$I24/$H24)</f>
        <v>0</v>
      </c>
      <c r="K24" s="11">
        <v>26451</v>
      </c>
      <c r="L24" s="11">
        <v>22848</v>
      </c>
      <c r="M24" s="11">
        <v>19332</v>
      </c>
      <c r="N24" s="11">
        <v>15818</v>
      </c>
      <c r="O24" s="11">
        <v>12302</v>
      </c>
      <c r="P24" s="11">
        <v>8788</v>
      </c>
      <c r="Q24" s="11">
        <v>5272</v>
      </c>
      <c r="R24" s="11">
        <v>1758</v>
      </c>
      <c r="S24" s="11">
        <v>0</v>
      </c>
      <c r="T24" s="11">
        <v>0</v>
      </c>
    </row>
    <row r="25" spans="1:20" hidden="1" x14ac:dyDescent="0.25">
      <c r="A25" s="6" t="s">
        <v>63</v>
      </c>
      <c r="B25" s="7" t="s">
        <v>37</v>
      </c>
      <c r="C25" s="8">
        <v>7486661.9000000004</v>
      </c>
      <c r="D25" s="8">
        <v>7575001.96</v>
      </c>
      <c r="E25" s="8">
        <v>7650822.7599999998</v>
      </c>
      <c r="F25" s="8">
        <v>7903819.2699999996</v>
      </c>
      <c r="G25" s="8">
        <v>8966845</v>
      </c>
      <c r="H25" s="9">
        <v>9689720.4100000001</v>
      </c>
      <c r="I25" s="8">
        <v>4408462.6100000003</v>
      </c>
      <c r="J25" s="10"/>
      <c r="K25" s="9">
        <v>9078931</v>
      </c>
      <c r="L25" s="9">
        <v>9192418</v>
      </c>
      <c r="M25" s="9">
        <v>9307323</v>
      </c>
      <c r="N25" s="9">
        <v>9423665</v>
      </c>
      <c r="O25" s="9">
        <v>9541461</v>
      </c>
      <c r="P25" s="9">
        <v>9660729</v>
      </c>
      <c r="Q25" s="9">
        <v>9781488</v>
      </c>
      <c r="R25" s="9">
        <v>9903757</v>
      </c>
      <c r="S25" s="9">
        <v>10027554</v>
      </c>
      <c r="T25" s="9">
        <v>10152898</v>
      </c>
    </row>
    <row r="26" spans="1:20" ht="39.950000000000003" customHeight="1" x14ac:dyDescent="0.25">
      <c r="A26" s="2" t="s">
        <v>64</v>
      </c>
      <c r="B26" s="3" t="s">
        <v>65</v>
      </c>
      <c r="C26" s="4">
        <v>460362.16</v>
      </c>
      <c r="D26" s="4">
        <v>1177320.32</v>
      </c>
      <c r="E26" s="4">
        <v>5175326.4800000004</v>
      </c>
      <c r="F26" s="4">
        <v>1058173.46</v>
      </c>
      <c r="G26" s="4">
        <v>6492080.8099999996</v>
      </c>
      <c r="H26" s="4">
        <v>6771666.8099999996</v>
      </c>
      <c r="I26" s="4">
        <v>5622963</v>
      </c>
      <c r="J26" s="5">
        <f>IF($H26=0,0,$I26/$H26)</f>
        <v>0.83036616504762739</v>
      </c>
      <c r="K26" s="4">
        <v>648360</v>
      </c>
      <c r="L26" s="4">
        <v>613843.16</v>
      </c>
      <c r="M26" s="4">
        <v>854047</v>
      </c>
      <c r="N26" s="4">
        <v>1002176</v>
      </c>
      <c r="O26" s="4">
        <v>1181586</v>
      </c>
      <c r="P26" s="4">
        <v>1660737</v>
      </c>
      <c r="Q26" s="4">
        <v>2024677</v>
      </c>
      <c r="R26" s="4">
        <v>2492148</v>
      </c>
      <c r="S26" s="4">
        <v>2857807.56</v>
      </c>
      <c r="T26" s="4">
        <v>3433642.94</v>
      </c>
    </row>
    <row r="27" spans="1:20" ht="39.950000000000003" customHeight="1" x14ac:dyDescent="0.25">
      <c r="A27" s="6" t="s">
        <v>66</v>
      </c>
      <c r="B27" s="7" t="s">
        <v>67</v>
      </c>
      <c r="C27" s="8">
        <v>460362.16</v>
      </c>
      <c r="D27" s="8">
        <v>1177320.32</v>
      </c>
      <c r="E27" s="8">
        <v>5175326.4800000004</v>
      </c>
      <c r="F27" s="8">
        <v>1058173.46</v>
      </c>
      <c r="G27" s="8">
        <v>6492080.8099999996</v>
      </c>
      <c r="H27" s="9">
        <v>6771666.8099999996</v>
      </c>
      <c r="I27" s="8">
        <v>5622963</v>
      </c>
      <c r="J27" s="10">
        <f>IF($H27=0,0,$I27/$H27)</f>
        <v>0.83036616504762739</v>
      </c>
      <c r="K27" s="9">
        <v>648360</v>
      </c>
      <c r="L27" s="9">
        <v>613843.16</v>
      </c>
      <c r="M27" s="9">
        <v>854047</v>
      </c>
      <c r="N27" s="9">
        <v>1002176</v>
      </c>
      <c r="O27" s="9">
        <v>1181586</v>
      </c>
      <c r="P27" s="9">
        <v>1660737</v>
      </c>
      <c r="Q27" s="9">
        <v>2024677</v>
      </c>
      <c r="R27" s="9">
        <v>2492148</v>
      </c>
      <c r="S27" s="9">
        <v>2857807.56</v>
      </c>
      <c r="T27" s="9">
        <v>3433642.94</v>
      </c>
    </row>
    <row r="28" spans="1:20" ht="27" customHeight="1" x14ac:dyDescent="0.25">
      <c r="A28" s="6" t="s">
        <v>68</v>
      </c>
      <c r="B28" s="7" t="s">
        <v>69</v>
      </c>
      <c r="C28" s="8">
        <v>158104.29999999999</v>
      </c>
      <c r="D28" s="8">
        <v>107498.37</v>
      </c>
      <c r="E28" s="8">
        <v>0</v>
      </c>
      <c r="F28" s="8">
        <v>0</v>
      </c>
      <c r="G28" s="8">
        <v>0</v>
      </c>
      <c r="H28" s="9">
        <v>125000</v>
      </c>
      <c r="I28" s="8">
        <v>5000</v>
      </c>
      <c r="J28" s="10">
        <f>IF($H28=0,0,$I28/$H28)</f>
        <v>0.04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hidden="1" x14ac:dyDescent="0.25">
      <c r="A29" s="6" t="s">
        <v>70</v>
      </c>
      <c r="B29" s="7" t="s">
        <v>37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9">
        <v>0</v>
      </c>
      <c r="I29" s="8">
        <v>0</v>
      </c>
      <c r="J29" s="10"/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ht="14.25" customHeight="1" x14ac:dyDescent="0.25">
      <c r="A30" s="2" t="s">
        <v>71</v>
      </c>
      <c r="B30" s="3" t="s">
        <v>72</v>
      </c>
      <c r="C30" s="4">
        <v>455074.62</v>
      </c>
      <c r="D30" s="4">
        <v>1150552.52</v>
      </c>
      <c r="E30" s="4">
        <v>-4165271.2</v>
      </c>
      <c r="F30" s="4">
        <v>-1258408.24</v>
      </c>
      <c r="G30" s="4">
        <v>-3439379.81</v>
      </c>
      <c r="H30" s="4">
        <v>-3635912.01</v>
      </c>
      <c r="I30" s="4">
        <v>-5429653.8399999999</v>
      </c>
      <c r="J30" s="5"/>
      <c r="K30" s="4">
        <v>503965</v>
      </c>
      <c r="L30" s="4">
        <v>333178.84000000003</v>
      </c>
      <c r="M30" s="4">
        <v>426983</v>
      </c>
      <c r="N30" s="4">
        <v>526983</v>
      </c>
      <c r="O30" s="4">
        <v>610983</v>
      </c>
      <c r="P30" s="4">
        <v>510983</v>
      </c>
      <c r="Q30" s="4">
        <v>520983</v>
      </c>
      <c r="R30" s="4">
        <v>420983</v>
      </c>
      <c r="S30" s="4">
        <v>415041.44</v>
      </c>
      <c r="T30" s="4">
        <v>203553.06</v>
      </c>
    </row>
    <row r="31" spans="1:20" ht="27" customHeight="1" x14ac:dyDescent="0.25">
      <c r="A31" s="6" t="s">
        <v>73</v>
      </c>
      <c r="B31" s="7" t="s">
        <v>74</v>
      </c>
      <c r="C31" s="11">
        <v>381324.2</v>
      </c>
      <c r="D31" s="11">
        <v>354388.2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0"/>
      <c r="K31" s="11">
        <v>503965</v>
      </c>
      <c r="L31" s="11">
        <v>333178.84000000003</v>
      </c>
      <c r="M31" s="11">
        <v>426983</v>
      </c>
      <c r="N31" s="11">
        <v>526983</v>
      </c>
      <c r="O31" s="11">
        <v>610983</v>
      </c>
      <c r="P31" s="11">
        <v>510983</v>
      </c>
      <c r="Q31" s="11">
        <v>520983</v>
      </c>
      <c r="R31" s="11">
        <v>420983</v>
      </c>
      <c r="S31" s="11">
        <v>415041.44</v>
      </c>
      <c r="T31" s="11">
        <v>203553.06</v>
      </c>
    </row>
    <row r="32" spans="1:20" ht="39.950000000000003" customHeight="1" x14ac:dyDescent="0.25">
      <c r="A32" s="2" t="s">
        <v>75</v>
      </c>
      <c r="B32" s="3" t="s">
        <v>76</v>
      </c>
      <c r="C32" s="4">
        <v>340682.38</v>
      </c>
      <c r="D32" s="4">
        <v>565131.21</v>
      </c>
      <c r="E32" s="4">
        <v>4519980.2</v>
      </c>
      <c r="F32" s="4">
        <v>1832295.53</v>
      </c>
      <c r="G32" s="4">
        <v>5838880.0099999998</v>
      </c>
      <c r="H32" s="4">
        <v>6035412.21</v>
      </c>
      <c r="I32" s="4">
        <v>6086045.5899999999</v>
      </c>
      <c r="J32" s="5">
        <f t="shared" ref="J32:J58" si="2">IF($H32=0,0,$I32/$H32)</f>
        <v>1.0083893822390633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39.950000000000003" customHeight="1" x14ac:dyDescent="0.25">
      <c r="A33" s="2" t="s">
        <v>77</v>
      </c>
      <c r="B33" s="3" t="s">
        <v>78</v>
      </c>
      <c r="C33" s="4">
        <v>0</v>
      </c>
      <c r="D33" s="4">
        <v>150677.84</v>
      </c>
      <c r="E33" s="4">
        <v>4175504.01</v>
      </c>
      <c r="F33" s="4">
        <v>471000</v>
      </c>
      <c r="G33" s="4">
        <v>5838880.0099999998</v>
      </c>
      <c r="H33" s="4">
        <v>5838880.0099999998</v>
      </c>
      <c r="I33" s="4">
        <v>5837896.0099999998</v>
      </c>
      <c r="J33" s="5">
        <f t="shared" si="2"/>
        <v>0.99983147452965038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4.25" customHeight="1" x14ac:dyDescent="0.25">
      <c r="A34" s="6" t="s">
        <v>79</v>
      </c>
      <c r="B34" s="7" t="s">
        <v>80</v>
      </c>
      <c r="C34" s="11">
        <v>0</v>
      </c>
      <c r="D34" s="11">
        <v>0</v>
      </c>
      <c r="E34" s="11">
        <v>3820795.01</v>
      </c>
      <c r="F34" s="11">
        <v>0</v>
      </c>
      <c r="G34" s="11">
        <v>3439379.81</v>
      </c>
      <c r="H34" s="11">
        <v>3439379.81</v>
      </c>
      <c r="I34" s="11">
        <v>0</v>
      </c>
      <c r="J34" s="10">
        <f t="shared" si="2"/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ht="14.25" customHeight="1" x14ac:dyDescent="0.25">
      <c r="A35" s="2" t="s">
        <v>81</v>
      </c>
      <c r="B35" s="3" t="s">
        <v>82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3">
        <v>0</v>
      </c>
      <c r="I35" s="12">
        <v>0</v>
      </c>
      <c r="J35" s="5">
        <f t="shared" si="2"/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</row>
    <row r="36" spans="1:20" ht="14.25" customHeight="1" x14ac:dyDescent="0.25">
      <c r="A36" s="6" t="s">
        <v>83</v>
      </c>
      <c r="B36" s="7" t="s">
        <v>80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9">
        <v>0</v>
      </c>
      <c r="I36" s="8">
        <v>0</v>
      </c>
      <c r="J36" s="10">
        <f t="shared" si="2"/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</row>
    <row r="37" spans="1:20" ht="39.950000000000003" customHeight="1" x14ac:dyDescent="0.25">
      <c r="A37" s="6" t="s">
        <v>84</v>
      </c>
      <c r="B37" s="7" t="s">
        <v>85</v>
      </c>
      <c r="C37" s="8">
        <v>340682.38</v>
      </c>
      <c r="D37" s="8">
        <v>414453.37</v>
      </c>
      <c r="E37" s="8">
        <v>344476.19</v>
      </c>
      <c r="F37" s="8">
        <v>1361295.53</v>
      </c>
      <c r="G37" s="8">
        <v>0</v>
      </c>
      <c r="H37" s="9">
        <v>196532.2</v>
      </c>
      <c r="I37" s="8">
        <v>248149.58</v>
      </c>
      <c r="J37" s="10">
        <f t="shared" si="2"/>
        <v>1.2626408293399247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</row>
    <row r="38" spans="1:20" ht="14.25" customHeight="1" x14ac:dyDescent="0.25">
      <c r="A38" s="6" t="s">
        <v>86</v>
      </c>
      <c r="B38" s="7" t="s">
        <v>80</v>
      </c>
      <c r="C38" s="8">
        <v>0</v>
      </c>
      <c r="D38" s="8">
        <v>0</v>
      </c>
      <c r="E38" s="8">
        <v>344476.19</v>
      </c>
      <c r="F38" s="8">
        <v>1258408.24</v>
      </c>
      <c r="G38" s="8">
        <v>0</v>
      </c>
      <c r="H38" s="9">
        <v>196532.2</v>
      </c>
      <c r="I38" s="8">
        <v>0</v>
      </c>
      <c r="J38" s="10">
        <f t="shared" si="2"/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</row>
    <row r="39" spans="1:20" ht="14.25" customHeight="1" x14ac:dyDescent="0.25">
      <c r="A39" s="6" t="s">
        <v>87</v>
      </c>
      <c r="B39" s="7" t="s">
        <v>88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9">
        <v>0</v>
      </c>
      <c r="I39" s="8">
        <v>0</v>
      </c>
      <c r="J39" s="10">
        <f t="shared" si="2"/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</row>
    <row r="40" spans="1:20" ht="14.25" customHeight="1" x14ac:dyDescent="0.25">
      <c r="A40" s="6" t="s">
        <v>89</v>
      </c>
      <c r="B40" s="7" t="s">
        <v>80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9">
        <v>0</v>
      </c>
      <c r="I40" s="8">
        <v>0</v>
      </c>
      <c r="J40" s="10">
        <f t="shared" si="2"/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</row>
    <row r="41" spans="1:20" ht="14.25" customHeight="1" x14ac:dyDescent="0.25">
      <c r="A41" s="2" t="s">
        <v>90</v>
      </c>
      <c r="B41" s="3" t="s">
        <v>91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3">
        <v>0</v>
      </c>
      <c r="I41" s="12">
        <v>0</v>
      </c>
      <c r="J41" s="5">
        <f t="shared" si="2"/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</row>
    <row r="42" spans="1:20" ht="14.25" customHeight="1" x14ac:dyDescent="0.25">
      <c r="A42" s="6" t="s">
        <v>92</v>
      </c>
      <c r="B42" s="7" t="s">
        <v>80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9">
        <v>0</v>
      </c>
      <c r="I42" s="8">
        <v>0</v>
      </c>
      <c r="J42" s="10">
        <f t="shared" si="2"/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</row>
    <row r="43" spans="1:20" ht="39.950000000000003" customHeight="1" x14ac:dyDescent="0.25">
      <c r="A43" s="2" t="s">
        <v>93</v>
      </c>
      <c r="B43" s="3" t="s">
        <v>94</v>
      </c>
      <c r="C43" s="4">
        <v>381324.2</v>
      </c>
      <c r="D43" s="4">
        <v>354388.2</v>
      </c>
      <c r="E43" s="4">
        <v>354709</v>
      </c>
      <c r="F43" s="4">
        <v>325737.71000000002</v>
      </c>
      <c r="G43" s="4">
        <v>2399500.2000000002</v>
      </c>
      <c r="H43" s="4">
        <v>2399500.2000000002</v>
      </c>
      <c r="I43" s="4">
        <v>186199</v>
      </c>
      <c r="J43" s="5">
        <f t="shared" si="2"/>
        <v>7.7599076674384107E-2</v>
      </c>
      <c r="K43" s="4">
        <v>503965</v>
      </c>
      <c r="L43" s="4">
        <v>333178.84000000003</v>
      </c>
      <c r="M43" s="4">
        <v>426983</v>
      </c>
      <c r="N43" s="4">
        <v>526983</v>
      </c>
      <c r="O43" s="4">
        <v>610983</v>
      </c>
      <c r="P43" s="4">
        <v>510983</v>
      </c>
      <c r="Q43" s="4">
        <v>520983</v>
      </c>
      <c r="R43" s="4">
        <v>420983</v>
      </c>
      <c r="S43" s="4">
        <v>415041.44</v>
      </c>
      <c r="T43" s="4">
        <v>203553.06</v>
      </c>
    </row>
    <row r="44" spans="1:20" ht="39.950000000000003" customHeight="1" x14ac:dyDescent="0.25">
      <c r="A44" s="2" t="s">
        <v>95</v>
      </c>
      <c r="B44" s="3" t="s">
        <v>96</v>
      </c>
      <c r="C44" s="4">
        <v>381324.2</v>
      </c>
      <c r="D44" s="4">
        <v>354388.2</v>
      </c>
      <c r="E44" s="4">
        <v>354709</v>
      </c>
      <c r="F44" s="4">
        <v>325737.71000000002</v>
      </c>
      <c r="G44" s="4">
        <v>2399500.2000000002</v>
      </c>
      <c r="H44" s="4">
        <v>2399500.2000000002</v>
      </c>
      <c r="I44" s="4">
        <v>186199</v>
      </c>
      <c r="J44" s="5">
        <f t="shared" si="2"/>
        <v>7.7599076674384107E-2</v>
      </c>
      <c r="K44" s="4">
        <v>503965</v>
      </c>
      <c r="L44" s="4">
        <v>333178.84000000003</v>
      </c>
      <c r="M44" s="4">
        <v>426983</v>
      </c>
      <c r="N44" s="4">
        <v>526983</v>
      </c>
      <c r="O44" s="4">
        <v>610983</v>
      </c>
      <c r="P44" s="4">
        <v>510983</v>
      </c>
      <c r="Q44" s="4">
        <v>520983</v>
      </c>
      <c r="R44" s="4">
        <v>420983</v>
      </c>
      <c r="S44" s="4">
        <v>415041.44</v>
      </c>
      <c r="T44" s="4">
        <v>203553.06</v>
      </c>
    </row>
    <row r="45" spans="1:20" ht="27" customHeight="1" x14ac:dyDescent="0.25">
      <c r="A45" s="6" t="s">
        <v>97</v>
      </c>
      <c r="B45" s="7" t="s">
        <v>98</v>
      </c>
      <c r="C45" s="11">
        <v>0</v>
      </c>
      <c r="D45" s="11">
        <v>0</v>
      </c>
      <c r="E45" s="11">
        <v>0</v>
      </c>
      <c r="F45" s="11">
        <v>0</v>
      </c>
      <c r="G45" s="11">
        <v>1970449</v>
      </c>
      <c r="H45" s="11">
        <v>1970449</v>
      </c>
      <c r="I45" s="11">
        <v>0</v>
      </c>
      <c r="J45" s="10">
        <f t="shared" si="2"/>
        <v>0</v>
      </c>
      <c r="K45" s="11">
        <v>199551</v>
      </c>
      <c r="L45" s="11">
        <v>190000</v>
      </c>
      <c r="M45" s="11">
        <v>190000</v>
      </c>
      <c r="N45" s="11">
        <v>190000</v>
      </c>
      <c r="O45" s="11">
        <v>190000</v>
      </c>
      <c r="P45" s="11">
        <v>190000</v>
      </c>
      <c r="Q45" s="11">
        <v>190000</v>
      </c>
      <c r="R45" s="11">
        <v>190000</v>
      </c>
      <c r="S45" s="11">
        <v>0</v>
      </c>
      <c r="T45" s="11">
        <v>0</v>
      </c>
    </row>
    <row r="46" spans="1:20" ht="27" customHeight="1" x14ac:dyDescent="0.25">
      <c r="A46" s="6" t="s">
        <v>99</v>
      </c>
      <c r="B46" s="7" t="s">
        <v>100</v>
      </c>
      <c r="C46" s="11">
        <v>0</v>
      </c>
      <c r="D46" s="11">
        <v>0</v>
      </c>
      <c r="E46" s="11">
        <v>0</v>
      </c>
      <c r="F46" s="11">
        <v>0</v>
      </c>
      <c r="G46" s="11">
        <v>1970449</v>
      </c>
      <c r="H46" s="11">
        <v>1970449</v>
      </c>
      <c r="I46" s="11">
        <v>0</v>
      </c>
      <c r="J46" s="10">
        <f t="shared" si="2"/>
        <v>0</v>
      </c>
      <c r="K46" s="11">
        <v>199551</v>
      </c>
      <c r="L46" s="11">
        <v>190000</v>
      </c>
      <c r="M46" s="11">
        <v>190000</v>
      </c>
      <c r="N46" s="11">
        <v>190000</v>
      </c>
      <c r="O46" s="11">
        <v>190000</v>
      </c>
      <c r="P46" s="11">
        <v>190000</v>
      </c>
      <c r="Q46" s="11">
        <v>190000</v>
      </c>
      <c r="R46" s="11">
        <v>190000</v>
      </c>
      <c r="S46" s="11">
        <v>0</v>
      </c>
      <c r="T46" s="11">
        <v>0</v>
      </c>
    </row>
    <row r="47" spans="1:20" ht="27" customHeight="1" x14ac:dyDescent="0.25">
      <c r="A47" s="6" t="s">
        <v>101</v>
      </c>
      <c r="B47" s="7" t="s">
        <v>102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0">
        <f t="shared" si="2"/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</row>
    <row r="48" spans="1:20" ht="27" customHeight="1" x14ac:dyDescent="0.25">
      <c r="A48" s="6" t="s">
        <v>103</v>
      </c>
      <c r="B48" s="7" t="s">
        <v>104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0">
        <f t="shared" si="2"/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</row>
    <row r="49" spans="1:20" ht="14.25" customHeight="1" x14ac:dyDescent="0.25">
      <c r="A49" s="6" t="s">
        <v>105</v>
      </c>
      <c r="B49" s="7" t="s">
        <v>106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0">
        <f t="shared" si="2"/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</row>
    <row r="50" spans="1:20" ht="27" customHeight="1" x14ac:dyDescent="0.25">
      <c r="A50" s="6" t="s">
        <v>107</v>
      </c>
      <c r="B50" s="7" t="s">
        <v>108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0">
        <f t="shared" si="2"/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</row>
    <row r="51" spans="1:20" ht="14.25" customHeight="1" x14ac:dyDescent="0.25">
      <c r="A51" s="6" t="s">
        <v>109</v>
      </c>
      <c r="B51" s="7" t="s">
        <v>110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0">
        <f t="shared" si="2"/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</row>
    <row r="52" spans="1:20" ht="14.25" customHeight="1" x14ac:dyDescent="0.25">
      <c r="A52" s="2" t="s">
        <v>111</v>
      </c>
      <c r="B52" s="3" t="s">
        <v>112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3">
        <v>0</v>
      </c>
      <c r="I52" s="12">
        <v>0</v>
      </c>
      <c r="J52" s="5">
        <f t="shared" si="2"/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</row>
    <row r="53" spans="1:20" ht="39.950000000000003" customHeight="1" x14ac:dyDescent="0.25">
      <c r="A53" s="2" t="s">
        <v>113</v>
      </c>
      <c r="B53" s="3" t="s">
        <v>114</v>
      </c>
      <c r="C53" s="4">
        <v>1092704.6000000001</v>
      </c>
      <c r="D53" s="4">
        <v>888994.24</v>
      </c>
      <c r="E53" s="4">
        <v>4709789.25</v>
      </c>
      <c r="F53" s="4">
        <v>1034256.53</v>
      </c>
      <c r="G53" s="4">
        <v>4690665.05</v>
      </c>
      <c r="H53" s="4">
        <v>4473636.34</v>
      </c>
      <c r="I53" s="4">
        <v>6685953.54</v>
      </c>
      <c r="J53" s="5">
        <f t="shared" si="2"/>
        <v>1.4945232539844757</v>
      </c>
      <c r="K53" s="4">
        <v>3969671.34</v>
      </c>
      <c r="L53" s="4">
        <v>3636492.5</v>
      </c>
      <c r="M53" s="4">
        <v>3209509.5</v>
      </c>
      <c r="N53" s="4">
        <v>2682526.5</v>
      </c>
      <c r="O53" s="4">
        <v>2071543.5</v>
      </c>
      <c r="P53" s="4">
        <v>1560560.5</v>
      </c>
      <c r="Q53" s="4">
        <v>1039577.5</v>
      </c>
      <c r="R53" s="4">
        <v>618594.5</v>
      </c>
      <c r="S53" s="4">
        <v>203553.06</v>
      </c>
      <c r="T53" s="4">
        <v>0</v>
      </c>
    </row>
    <row r="54" spans="1:20" ht="27" customHeight="1" x14ac:dyDescent="0.25">
      <c r="A54" s="6" t="s">
        <v>115</v>
      </c>
      <c r="B54" s="7" t="s">
        <v>116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9">
        <v>0</v>
      </c>
      <c r="I54" s="8">
        <v>0</v>
      </c>
      <c r="J54" s="10">
        <f t="shared" si="2"/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</row>
    <row r="55" spans="1:20" ht="27" customHeight="1" x14ac:dyDescent="0.25">
      <c r="A55" s="2" t="s">
        <v>117</v>
      </c>
      <c r="B55" s="3" t="s">
        <v>118</v>
      </c>
      <c r="C55" s="31" t="s">
        <v>119</v>
      </c>
      <c r="D55" s="31" t="s">
        <v>119</v>
      </c>
      <c r="E55" s="31" t="s">
        <v>119</v>
      </c>
      <c r="F55" s="31" t="s">
        <v>119</v>
      </c>
      <c r="G55" s="31" t="s">
        <v>119</v>
      </c>
      <c r="H55" s="31" t="s">
        <v>119</v>
      </c>
      <c r="I55" s="31" t="s">
        <v>119</v>
      </c>
      <c r="J55" s="32" t="e">
        <f t="shared" si="2"/>
        <v>#VALUE!</v>
      </c>
      <c r="K55" s="31" t="s">
        <v>119</v>
      </c>
      <c r="L55" s="31" t="s">
        <v>119</v>
      </c>
      <c r="M55" s="31" t="s">
        <v>119</v>
      </c>
      <c r="N55" s="31" t="s">
        <v>119</v>
      </c>
      <c r="O55" s="31" t="s">
        <v>119</v>
      </c>
      <c r="P55" s="31" t="s">
        <v>119</v>
      </c>
      <c r="Q55" s="31" t="s">
        <v>119</v>
      </c>
      <c r="R55" s="31" t="s">
        <v>119</v>
      </c>
      <c r="S55" s="31" t="s">
        <v>119</v>
      </c>
      <c r="T55" s="31" t="s">
        <v>119</v>
      </c>
    </row>
    <row r="56" spans="1:20" ht="39.950000000000003" customHeight="1" x14ac:dyDescent="0.25">
      <c r="A56" s="6" t="s">
        <v>120</v>
      </c>
      <c r="B56" s="7" t="s">
        <v>121</v>
      </c>
      <c r="C56" s="11">
        <v>599394.04</v>
      </c>
      <c r="D56" s="11">
        <v>1484898.78</v>
      </c>
      <c r="E56" s="11">
        <v>-189886.72</v>
      </c>
      <c r="F56" s="11">
        <v>-826427.13</v>
      </c>
      <c r="G56" s="11">
        <v>501</v>
      </c>
      <c r="H56" s="11">
        <v>-191532.2</v>
      </c>
      <c r="I56" s="11">
        <v>-196381.24</v>
      </c>
      <c r="J56" s="10">
        <f t="shared" si="2"/>
        <v>1.0253171007277104</v>
      </c>
      <c r="K56" s="11">
        <v>452325</v>
      </c>
      <c r="L56" s="11">
        <v>727022</v>
      </c>
      <c r="M56" s="11">
        <v>1081030</v>
      </c>
      <c r="N56" s="11">
        <v>1429159</v>
      </c>
      <c r="O56" s="11">
        <v>1792569</v>
      </c>
      <c r="P56" s="11">
        <v>2171720</v>
      </c>
      <c r="Q56" s="11">
        <v>2545660</v>
      </c>
      <c r="R56" s="11">
        <v>2913131</v>
      </c>
      <c r="S56" s="11">
        <v>3272849</v>
      </c>
      <c r="T56" s="11">
        <v>3637196</v>
      </c>
    </row>
    <row r="57" spans="1:20" ht="27" customHeight="1" x14ac:dyDescent="0.25">
      <c r="A57" s="6" t="s">
        <v>122</v>
      </c>
      <c r="B57" s="7" t="s">
        <v>123</v>
      </c>
      <c r="C57" s="11">
        <v>940076.42</v>
      </c>
      <c r="D57" s="11">
        <v>1899352.15</v>
      </c>
      <c r="E57" s="11">
        <v>154589.47</v>
      </c>
      <c r="F57" s="11">
        <v>534868.4</v>
      </c>
      <c r="G57" s="11">
        <v>501</v>
      </c>
      <c r="H57" s="11">
        <v>5000</v>
      </c>
      <c r="I57" s="11">
        <v>51768.34</v>
      </c>
      <c r="J57" s="10">
        <f t="shared" si="2"/>
        <v>10.353667999999999</v>
      </c>
      <c r="K57" s="11">
        <v>452325</v>
      </c>
      <c r="L57" s="11">
        <v>727022</v>
      </c>
      <c r="M57" s="11">
        <v>1081030</v>
      </c>
      <c r="N57" s="11">
        <v>1429159</v>
      </c>
      <c r="O57" s="11">
        <v>1792569</v>
      </c>
      <c r="P57" s="11">
        <v>2171720</v>
      </c>
      <c r="Q57" s="11">
        <v>2545660</v>
      </c>
      <c r="R57" s="11">
        <v>2913131</v>
      </c>
      <c r="S57" s="11">
        <v>3272849</v>
      </c>
      <c r="T57" s="11">
        <v>3637196</v>
      </c>
    </row>
    <row r="58" spans="1:20" ht="14.25" customHeight="1" x14ac:dyDescent="0.25">
      <c r="A58" s="2" t="s">
        <v>124</v>
      </c>
      <c r="B58" s="3" t="s">
        <v>125</v>
      </c>
      <c r="C58" s="31" t="s">
        <v>119</v>
      </c>
      <c r="D58" s="31" t="s">
        <v>119</v>
      </c>
      <c r="E58" s="31" t="s">
        <v>119</v>
      </c>
      <c r="F58" s="31" t="s">
        <v>119</v>
      </c>
      <c r="G58" s="31" t="s">
        <v>119</v>
      </c>
      <c r="H58" s="31" t="s">
        <v>119</v>
      </c>
      <c r="I58" s="31" t="s">
        <v>119</v>
      </c>
      <c r="J58" s="32" t="e">
        <f t="shared" si="2"/>
        <v>#VALUE!</v>
      </c>
      <c r="K58" s="31" t="s">
        <v>119</v>
      </c>
      <c r="L58" s="31" t="s">
        <v>119</v>
      </c>
      <c r="M58" s="31" t="s">
        <v>119</v>
      </c>
      <c r="N58" s="31" t="s">
        <v>119</v>
      </c>
      <c r="O58" s="31" t="s">
        <v>119</v>
      </c>
      <c r="P58" s="31" t="s">
        <v>119</v>
      </c>
      <c r="Q58" s="31" t="s">
        <v>119</v>
      </c>
      <c r="R58" s="31" t="s">
        <v>119</v>
      </c>
      <c r="S58" s="31" t="s">
        <v>119</v>
      </c>
      <c r="T58" s="31" t="s">
        <v>119</v>
      </c>
    </row>
    <row r="59" spans="1:20" ht="65.650000000000006" customHeight="1" x14ac:dyDescent="0.25">
      <c r="A59" s="14" t="s">
        <v>126</v>
      </c>
      <c r="B59" s="15" t="s">
        <v>127</v>
      </c>
      <c r="C59" s="16">
        <v>4.4200000000000003E-2</v>
      </c>
      <c r="D59" s="16">
        <v>3.5000000000000003E-2</v>
      </c>
      <c r="E59" s="16">
        <v>3.8800000000000001E-2</v>
      </c>
      <c r="F59" s="16">
        <v>3.9699999999999999E-2</v>
      </c>
      <c r="G59" s="16">
        <v>4.7699999999999999E-2</v>
      </c>
      <c r="H59" s="16">
        <v>4.7699999999999999E-2</v>
      </c>
      <c r="I59" s="16">
        <v>4.1700000000000001E-2</v>
      </c>
      <c r="J59" s="10"/>
      <c r="K59" s="16">
        <v>3.6999999999999998E-2</v>
      </c>
      <c r="L59" s="16">
        <v>2.0899999999999998E-2</v>
      </c>
      <c r="M59" s="16">
        <v>2.7400000000000001E-2</v>
      </c>
      <c r="N59" s="16">
        <v>3.4099999999999998E-2</v>
      </c>
      <c r="O59" s="16">
        <v>3.9E-2</v>
      </c>
      <c r="P59" s="16">
        <v>2.92E-2</v>
      </c>
      <c r="Q59" s="16">
        <v>2.8199999999999999E-2</v>
      </c>
      <c r="R59" s="16">
        <v>1.9099999999999999E-2</v>
      </c>
      <c r="S59" s="16">
        <v>3.0800000000000001E-2</v>
      </c>
      <c r="T59" s="16">
        <v>1.44E-2</v>
      </c>
    </row>
    <row r="60" spans="1:20" ht="39.950000000000003" customHeight="1" x14ac:dyDescent="0.25">
      <c r="A60" s="14" t="s">
        <v>128</v>
      </c>
      <c r="B60" s="15" t="s">
        <v>129</v>
      </c>
      <c r="C60" s="16">
        <v>6.7699999999999996E-2</v>
      </c>
      <c r="D60" s="16">
        <v>0.1188</v>
      </c>
      <c r="E60" s="16">
        <v>7.6E-3</v>
      </c>
      <c r="F60" s="16">
        <v>-8.5699999999999998E-2</v>
      </c>
      <c r="G60" s="16">
        <v>1.2800000000000001E-2</v>
      </c>
      <c r="H60" s="16">
        <v>9.9000000000000008E-3</v>
      </c>
      <c r="I60" s="16">
        <v>-3.09E-2</v>
      </c>
      <c r="J60" s="10"/>
      <c r="K60" s="16">
        <v>5.5100000000000003E-2</v>
      </c>
      <c r="L60" s="16">
        <v>7.6300000000000007E-2</v>
      </c>
      <c r="M60" s="16">
        <v>0.1027</v>
      </c>
      <c r="N60" s="16">
        <v>0.12720000000000001</v>
      </c>
      <c r="O60" s="16">
        <v>0.15129999999999999</v>
      </c>
      <c r="P60" s="16">
        <v>0.17499999999999999</v>
      </c>
      <c r="Q60" s="16">
        <v>0.19700000000000001</v>
      </c>
      <c r="R60" s="16">
        <v>0.21729999999999999</v>
      </c>
      <c r="S60" s="16">
        <v>0.2361</v>
      </c>
      <c r="T60" s="16">
        <v>0.25459999999999999</v>
      </c>
    </row>
    <row r="61" spans="1:20" ht="33.75" hidden="1" x14ac:dyDescent="0.25">
      <c r="A61" s="14" t="s">
        <v>130</v>
      </c>
      <c r="B61" s="15" t="s">
        <v>131</v>
      </c>
      <c r="C61" s="16">
        <v>0.1003</v>
      </c>
      <c r="D61" s="16">
        <v>0.14929999999999999</v>
      </c>
      <c r="E61" s="16">
        <v>3.6299999999999999E-2</v>
      </c>
      <c r="F61" s="16">
        <v>-2.8199999999999999E-2</v>
      </c>
      <c r="G61" s="16">
        <v>5.04E-2</v>
      </c>
      <c r="H61" s="16">
        <v>4.9500000000000002E-2</v>
      </c>
      <c r="I61" s="16">
        <v>-2.3599999999999999E-2</v>
      </c>
      <c r="J61" s="10"/>
      <c r="K61" s="16">
        <v>9.11E-2</v>
      </c>
      <c r="L61" s="16">
        <v>9.3899999999999997E-2</v>
      </c>
      <c r="M61" s="16">
        <v>0.1197</v>
      </c>
      <c r="N61" s="16">
        <v>0.13550000000000001</v>
      </c>
      <c r="O61" s="16">
        <v>0.15129999999999999</v>
      </c>
      <c r="P61" s="16">
        <v>0.17499999999999999</v>
      </c>
      <c r="Q61" s="16">
        <v>0.19700000000000001</v>
      </c>
      <c r="R61" s="16">
        <v>0.21729999999999999</v>
      </c>
      <c r="S61" s="16">
        <v>0.2361</v>
      </c>
      <c r="T61" s="16">
        <v>0.25459999999999999</v>
      </c>
    </row>
    <row r="62" spans="1:20" ht="78.599999999999994" customHeight="1" x14ac:dyDescent="0.25">
      <c r="A62" s="14" t="s">
        <v>132</v>
      </c>
      <c r="B62" s="15" t="s">
        <v>133</v>
      </c>
      <c r="C62" s="16">
        <v>0.15</v>
      </c>
      <c r="D62" s="16">
        <v>0.15</v>
      </c>
      <c r="E62" s="16">
        <v>0.15</v>
      </c>
      <c r="F62" s="16">
        <v>0.15</v>
      </c>
      <c r="G62" s="16">
        <v>9.11E-2</v>
      </c>
      <c r="H62" s="16">
        <v>9.5299999999999996E-2</v>
      </c>
      <c r="I62" s="16">
        <v>9.5299999999999996E-2</v>
      </c>
      <c r="J62" s="10"/>
      <c r="K62" s="16">
        <v>7.8399999999999997E-2</v>
      </c>
      <c r="L62" s="16">
        <v>5.8999999999999997E-2</v>
      </c>
      <c r="M62" s="16">
        <v>7.8200000000000006E-2</v>
      </c>
      <c r="N62" s="16">
        <v>0.1016</v>
      </c>
      <c r="O62" s="16">
        <v>0.1164</v>
      </c>
      <c r="P62" s="16">
        <v>7.5700000000000003E-2</v>
      </c>
      <c r="Q62" s="16">
        <v>9.9599999999999994E-2</v>
      </c>
      <c r="R62" s="16">
        <v>0.12640000000000001</v>
      </c>
      <c r="S62" s="16">
        <v>0.14949999999999999</v>
      </c>
      <c r="T62" s="16">
        <v>0.1724</v>
      </c>
    </row>
    <row r="63" spans="1:20" ht="78.599999999999994" customHeight="1" x14ac:dyDescent="0.25">
      <c r="A63" s="14" t="s">
        <v>134</v>
      </c>
      <c r="B63" s="15" t="s">
        <v>135</v>
      </c>
      <c r="C63" s="16">
        <v>0.15</v>
      </c>
      <c r="D63" s="16">
        <v>0.15</v>
      </c>
      <c r="E63" s="16">
        <v>0.15</v>
      </c>
      <c r="F63" s="16">
        <v>0.15</v>
      </c>
      <c r="G63" s="16">
        <v>9.1200000000000003E-2</v>
      </c>
      <c r="H63" s="16">
        <v>7.3800000000000004E-2</v>
      </c>
      <c r="I63" s="16">
        <v>7.3800000000000004E-2</v>
      </c>
      <c r="J63" s="10"/>
      <c r="K63" s="16">
        <v>5.6899999999999999E-2</v>
      </c>
      <c r="L63" s="16">
        <v>3.7499999999999999E-2</v>
      </c>
      <c r="M63" s="16">
        <v>7.8200000000000006E-2</v>
      </c>
      <c r="N63" s="16">
        <v>0.1016</v>
      </c>
      <c r="O63" s="16">
        <v>0.1164</v>
      </c>
      <c r="P63" s="16">
        <v>6.2399999999999997E-2</v>
      </c>
      <c r="Q63" s="16">
        <v>9.9599999999999994E-2</v>
      </c>
      <c r="R63" s="16">
        <v>0.12640000000000001</v>
      </c>
      <c r="S63" s="16">
        <v>0.14949999999999999</v>
      </c>
      <c r="T63" s="16">
        <v>0.1724</v>
      </c>
    </row>
    <row r="64" spans="1:20" ht="78.599999999999994" customHeight="1" x14ac:dyDescent="0.25">
      <c r="A64" s="2" t="s">
        <v>136</v>
      </c>
      <c r="B64" s="3" t="s">
        <v>137</v>
      </c>
      <c r="C64" s="17">
        <v>0.10580000000000001</v>
      </c>
      <c r="D64" s="17" t="s">
        <v>138</v>
      </c>
      <c r="E64" s="17" t="s">
        <v>138</v>
      </c>
      <c r="F64" s="17" t="s">
        <v>138</v>
      </c>
      <c r="G64" s="17" t="s">
        <v>138</v>
      </c>
      <c r="H64" s="17" t="s">
        <v>138</v>
      </c>
      <c r="I64" s="17" t="s">
        <v>138</v>
      </c>
      <c r="J64" s="18"/>
      <c r="K64" s="17" t="s">
        <v>138</v>
      </c>
      <c r="L64" s="17" t="s">
        <v>138</v>
      </c>
      <c r="M64" s="17" t="s">
        <v>138</v>
      </c>
      <c r="N64" s="17" t="s">
        <v>138</v>
      </c>
      <c r="O64" s="17" t="s">
        <v>138</v>
      </c>
      <c r="P64" s="17" t="s">
        <v>138</v>
      </c>
      <c r="Q64" s="17" t="s">
        <v>138</v>
      </c>
      <c r="R64" s="17" t="s">
        <v>138</v>
      </c>
      <c r="S64" s="17" t="s">
        <v>138</v>
      </c>
      <c r="T64" s="17" t="s">
        <v>138</v>
      </c>
    </row>
    <row r="65" spans="1:20" ht="78.599999999999994" customHeight="1" x14ac:dyDescent="0.25">
      <c r="A65" s="6" t="s">
        <v>139</v>
      </c>
      <c r="B65" s="7" t="s">
        <v>140</v>
      </c>
      <c r="C65" s="19">
        <v>0.10580000000000001</v>
      </c>
      <c r="D65" s="19" t="s">
        <v>138</v>
      </c>
      <c r="E65" s="19" t="s">
        <v>138</v>
      </c>
      <c r="F65" s="19" t="s">
        <v>138</v>
      </c>
      <c r="G65" s="19" t="s">
        <v>138</v>
      </c>
      <c r="H65" s="19" t="s">
        <v>138</v>
      </c>
      <c r="I65" s="19" t="s">
        <v>138</v>
      </c>
      <c r="J65" s="20"/>
      <c r="K65" s="19" t="s">
        <v>138</v>
      </c>
      <c r="L65" s="19" t="s">
        <v>138</v>
      </c>
      <c r="M65" s="19" t="s">
        <v>138</v>
      </c>
      <c r="N65" s="19" t="s">
        <v>138</v>
      </c>
      <c r="O65" s="19" t="s">
        <v>138</v>
      </c>
      <c r="P65" s="19" t="s">
        <v>138</v>
      </c>
      <c r="Q65" s="19" t="s">
        <v>138</v>
      </c>
      <c r="R65" s="19" t="s">
        <v>138</v>
      </c>
      <c r="S65" s="19" t="s">
        <v>138</v>
      </c>
      <c r="T65" s="19" t="s">
        <v>138</v>
      </c>
    </row>
    <row r="66" spans="1:20" ht="39.950000000000003" customHeight="1" x14ac:dyDescent="0.25">
      <c r="A66" s="2" t="s">
        <v>141</v>
      </c>
      <c r="B66" s="3" t="s">
        <v>142</v>
      </c>
      <c r="C66" s="31" t="s">
        <v>119</v>
      </c>
      <c r="D66" s="31" t="s">
        <v>119</v>
      </c>
      <c r="E66" s="31" t="s">
        <v>119</v>
      </c>
      <c r="F66" s="31" t="s">
        <v>119</v>
      </c>
      <c r="G66" s="31" t="s">
        <v>119</v>
      </c>
      <c r="H66" s="31" t="s">
        <v>119</v>
      </c>
      <c r="I66" s="31" t="s">
        <v>119</v>
      </c>
      <c r="J66" s="32" t="e">
        <f t="shared" ref="J66:J99" si="3">IF($H66=0,0,$I66/$H66)</f>
        <v>#VALUE!</v>
      </c>
      <c r="K66" s="31" t="s">
        <v>119</v>
      </c>
      <c r="L66" s="31" t="s">
        <v>119</v>
      </c>
      <c r="M66" s="31" t="s">
        <v>119</v>
      </c>
      <c r="N66" s="31" t="s">
        <v>119</v>
      </c>
      <c r="O66" s="31" t="s">
        <v>119</v>
      </c>
      <c r="P66" s="31" t="s">
        <v>119</v>
      </c>
      <c r="Q66" s="31" t="s">
        <v>119</v>
      </c>
      <c r="R66" s="31" t="s">
        <v>119</v>
      </c>
      <c r="S66" s="31" t="s">
        <v>119</v>
      </c>
      <c r="T66" s="31" t="s">
        <v>119</v>
      </c>
    </row>
    <row r="67" spans="1:20" ht="39.950000000000003" customHeight="1" x14ac:dyDescent="0.25">
      <c r="A67" s="6" t="s">
        <v>143</v>
      </c>
      <c r="B67" s="7" t="s">
        <v>144</v>
      </c>
      <c r="C67" s="8">
        <v>0</v>
      </c>
      <c r="D67" s="8">
        <v>223469.77</v>
      </c>
      <c r="E67" s="8">
        <v>201450</v>
      </c>
      <c r="F67" s="8">
        <v>224492.4</v>
      </c>
      <c r="G67" s="8">
        <v>20000</v>
      </c>
      <c r="H67" s="9">
        <v>234078.44</v>
      </c>
      <c r="I67" s="8">
        <v>222078.44</v>
      </c>
      <c r="J67" s="10">
        <f t="shared" si="3"/>
        <v>0.94873513340229032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</row>
    <row r="68" spans="1:20" ht="52.9" customHeight="1" x14ac:dyDescent="0.25">
      <c r="A68" s="6" t="s">
        <v>145</v>
      </c>
      <c r="B68" s="7" t="s">
        <v>146</v>
      </c>
      <c r="C68" s="8">
        <v>0</v>
      </c>
      <c r="D68" s="8">
        <v>223469.77</v>
      </c>
      <c r="E68" s="8">
        <v>201450</v>
      </c>
      <c r="F68" s="8">
        <v>224492.4</v>
      </c>
      <c r="G68" s="8">
        <v>20000</v>
      </c>
      <c r="H68" s="9">
        <v>234078.44</v>
      </c>
      <c r="I68" s="8">
        <v>222078.44</v>
      </c>
      <c r="J68" s="10">
        <f t="shared" si="3"/>
        <v>0.94873513340229032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</row>
    <row r="69" spans="1:20" ht="39.950000000000003" customHeight="1" x14ac:dyDescent="0.25">
      <c r="A69" s="6" t="s">
        <v>147</v>
      </c>
      <c r="B69" s="7" t="s">
        <v>148</v>
      </c>
      <c r="C69" s="8">
        <v>0</v>
      </c>
      <c r="D69" s="8">
        <v>212349.77</v>
      </c>
      <c r="E69" s="8">
        <v>198670</v>
      </c>
      <c r="F69" s="8">
        <v>221100.79999999999</v>
      </c>
      <c r="G69" s="8">
        <v>20000</v>
      </c>
      <c r="H69" s="9">
        <v>227399.65</v>
      </c>
      <c r="I69" s="8">
        <v>215399.64</v>
      </c>
      <c r="J69" s="10">
        <f t="shared" si="3"/>
        <v>0.94722942625461393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</row>
    <row r="70" spans="1:20" ht="39.950000000000003" customHeight="1" x14ac:dyDescent="0.25">
      <c r="A70" s="6" t="s">
        <v>149</v>
      </c>
      <c r="B70" s="7" t="s">
        <v>150</v>
      </c>
      <c r="C70" s="8">
        <v>0</v>
      </c>
      <c r="D70" s="8">
        <v>58552</v>
      </c>
      <c r="E70" s="8">
        <v>899942</v>
      </c>
      <c r="F70" s="8">
        <v>119990.52</v>
      </c>
      <c r="G70" s="8">
        <v>2652200</v>
      </c>
      <c r="H70" s="9">
        <v>2905850</v>
      </c>
      <c r="I70" s="8">
        <v>353049</v>
      </c>
      <c r="J70" s="10">
        <f t="shared" si="3"/>
        <v>0.12149594782937867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</row>
    <row r="71" spans="1:20" ht="39.950000000000003" customHeight="1" x14ac:dyDescent="0.25">
      <c r="A71" s="6" t="s">
        <v>151</v>
      </c>
      <c r="B71" s="7" t="s">
        <v>152</v>
      </c>
      <c r="C71" s="8">
        <v>0</v>
      </c>
      <c r="D71" s="8">
        <v>58552</v>
      </c>
      <c r="E71" s="8">
        <v>899942</v>
      </c>
      <c r="F71" s="8">
        <v>119990.52</v>
      </c>
      <c r="G71" s="8">
        <v>2652200</v>
      </c>
      <c r="H71" s="9">
        <v>2905850</v>
      </c>
      <c r="I71" s="8">
        <v>353049</v>
      </c>
      <c r="J71" s="10">
        <f t="shared" si="3"/>
        <v>0.12149594782937867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</row>
    <row r="72" spans="1:20" ht="39.950000000000003" customHeight="1" x14ac:dyDescent="0.25">
      <c r="A72" s="6" t="s">
        <v>153</v>
      </c>
      <c r="B72" s="7" t="s">
        <v>148</v>
      </c>
      <c r="C72" s="8">
        <v>0</v>
      </c>
      <c r="D72" s="8">
        <v>58552</v>
      </c>
      <c r="E72" s="8">
        <v>899942</v>
      </c>
      <c r="F72" s="8">
        <v>119990.52</v>
      </c>
      <c r="G72" s="8">
        <v>2652200</v>
      </c>
      <c r="H72" s="9">
        <v>2905850</v>
      </c>
      <c r="I72" s="8">
        <v>353049</v>
      </c>
      <c r="J72" s="10">
        <f t="shared" si="3"/>
        <v>0.12149594782937867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</row>
    <row r="73" spans="1:20" ht="39.950000000000003" customHeight="1" x14ac:dyDescent="0.25">
      <c r="A73" s="6" t="s">
        <v>154</v>
      </c>
      <c r="B73" s="7" t="s">
        <v>155</v>
      </c>
      <c r="C73" s="8">
        <v>9796</v>
      </c>
      <c r="D73" s="8">
        <v>25299.75</v>
      </c>
      <c r="E73" s="8">
        <v>420441.23</v>
      </c>
      <c r="F73" s="8">
        <v>271823.40999999997</v>
      </c>
      <c r="G73" s="8">
        <v>0</v>
      </c>
      <c r="H73" s="9">
        <v>375610.64</v>
      </c>
      <c r="I73" s="8">
        <v>240353.97</v>
      </c>
      <c r="J73" s="10">
        <f t="shared" si="3"/>
        <v>0.63990192077625918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</row>
    <row r="74" spans="1:20" ht="39.950000000000003" customHeight="1" x14ac:dyDescent="0.25">
      <c r="A74" s="6" t="s">
        <v>156</v>
      </c>
      <c r="B74" s="7" t="s">
        <v>157</v>
      </c>
      <c r="C74" s="8">
        <v>9796</v>
      </c>
      <c r="D74" s="8">
        <v>25299.75</v>
      </c>
      <c r="E74" s="8">
        <v>420441.23</v>
      </c>
      <c r="F74" s="8">
        <v>271823.40999999997</v>
      </c>
      <c r="G74" s="8">
        <v>0</v>
      </c>
      <c r="H74" s="9">
        <v>375610.64</v>
      </c>
      <c r="I74" s="8">
        <v>240353.97</v>
      </c>
      <c r="J74" s="10">
        <f t="shared" si="3"/>
        <v>0.63990192077625918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</row>
    <row r="75" spans="1:20" ht="39.950000000000003" customHeight="1" x14ac:dyDescent="0.25">
      <c r="A75" s="6" t="s">
        <v>158</v>
      </c>
      <c r="B75" s="7" t="s">
        <v>159</v>
      </c>
      <c r="C75" s="8">
        <v>6326.53</v>
      </c>
      <c r="D75" s="8">
        <v>19354.32</v>
      </c>
      <c r="E75" s="8">
        <v>411525.19</v>
      </c>
      <c r="F75" s="8">
        <v>261530.74</v>
      </c>
      <c r="G75" s="8">
        <v>0</v>
      </c>
      <c r="H75" s="9">
        <v>368320.25</v>
      </c>
      <c r="I75" s="8">
        <v>233675.18</v>
      </c>
      <c r="J75" s="10">
        <f t="shared" si="3"/>
        <v>0.63443478874702108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</row>
    <row r="76" spans="1:20" ht="39.950000000000003" customHeight="1" x14ac:dyDescent="0.25">
      <c r="A76" s="6" t="s">
        <v>160</v>
      </c>
      <c r="B76" s="7" t="s">
        <v>161</v>
      </c>
      <c r="C76" s="8">
        <v>83025</v>
      </c>
      <c r="D76" s="8">
        <v>0</v>
      </c>
      <c r="E76" s="8">
        <v>3810046.02</v>
      </c>
      <c r="F76" s="8">
        <v>687226.84</v>
      </c>
      <c r="G76" s="8">
        <v>5838880.0099999998</v>
      </c>
      <c r="H76" s="9">
        <v>5884497.0499999998</v>
      </c>
      <c r="I76" s="8">
        <v>5559868.1900000004</v>
      </c>
      <c r="J76" s="10">
        <f t="shared" si="3"/>
        <v>0.94483320201511545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</row>
    <row r="77" spans="1:20" ht="39.950000000000003" customHeight="1" x14ac:dyDescent="0.25">
      <c r="A77" s="6" t="s">
        <v>162</v>
      </c>
      <c r="B77" s="7" t="s">
        <v>163</v>
      </c>
      <c r="C77" s="8">
        <v>83025</v>
      </c>
      <c r="D77" s="8">
        <v>0</v>
      </c>
      <c r="E77" s="8">
        <v>3810046.02</v>
      </c>
      <c r="F77" s="8">
        <v>687226.84</v>
      </c>
      <c r="G77" s="8">
        <v>5838880.0099999998</v>
      </c>
      <c r="H77" s="9">
        <v>5884497.0499999998</v>
      </c>
      <c r="I77" s="8">
        <v>5559868.1900000004</v>
      </c>
      <c r="J77" s="10">
        <f t="shared" si="3"/>
        <v>0.94483320201511545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</row>
    <row r="78" spans="1:20" ht="39.950000000000003" customHeight="1" x14ac:dyDescent="0.25">
      <c r="A78" s="6" t="s">
        <v>164</v>
      </c>
      <c r="B78" s="7" t="s">
        <v>159</v>
      </c>
      <c r="C78" s="8">
        <v>52828.81</v>
      </c>
      <c r="D78" s="8">
        <v>0</v>
      </c>
      <c r="E78" s="8">
        <v>1583669</v>
      </c>
      <c r="F78" s="8">
        <v>365209.31</v>
      </c>
      <c r="G78" s="8">
        <v>2526756</v>
      </c>
      <c r="H78" s="9">
        <v>2568969.08</v>
      </c>
      <c r="I78" s="8">
        <v>2549169.08</v>
      </c>
      <c r="J78" s="10">
        <f t="shared" si="3"/>
        <v>0.99229262813859942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</row>
    <row r="79" spans="1:20" ht="27" customHeight="1" x14ac:dyDescent="0.25">
      <c r="A79" s="2" t="s">
        <v>165</v>
      </c>
      <c r="B79" s="3" t="s">
        <v>166</v>
      </c>
      <c r="C79" s="31" t="s">
        <v>119</v>
      </c>
      <c r="D79" s="31" t="s">
        <v>119</v>
      </c>
      <c r="E79" s="31" t="s">
        <v>119</v>
      </c>
      <c r="F79" s="31" t="s">
        <v>119</v>
      </c>
      <c r="G79" s="31" t="s">
        <v>119</v>
      </c>
      <c r="H79" s="31" t="s">
        <v>119</v>
      </c>
      <c r="I79" s="31" t="s">
        <v>119</v>
      </c>
      <c r="J79" s="32" t="e">
        <f t="shared" si="3"/>
        <v>#VALUE!</v>
      </c>
      <c r="K79" s="31" t="s">
        <v>119</v>
      </c>
      <c r="L79" s="31" t="s">
        <v>119</v>
      </c>
      <c r="M79" s="31" t="s">
        <v>119</v>
      </c>
      <c r="N79" s="31" t="s">
        <v>119</v>
      </c>
      <c r="O79" s="31" t="s">
        <v>119</v>
      </c>
      <c r="P79" s="31" t="s">
        <v>119</v>
      </c>
      <c r="Q79" s="31" t="s">
        <v>119</v>
      </c>
      <c r="R79" s="31" t="s">
        <v>119</v>
      </c>
      <c r="S79" s="31" t="s">
        <v>119</v>
      </c>
      <c r="T79" s="31" t="s">
        <v>119</v>
      </c>
    </row>
    <row r="80" spans="1:20" ht="27" customHeight="1" x14ac:dyDescent="0.25">
      <c r="A80" s="6" t="s">
        <v>167</v>
      </c>
      <c r="B80" s="7" t="s">
        <v>168</v>
      </c>
      <c r="C80" s="11">
        <v>931400</v>
      </c>
      <c r="D80" s="11">
        <v>421070</v>
      </c>
      <c r="E80" s="11">
        <v>4509516</v>
      </c>
      <c r="F80" s="11">
        <v>4509516</v>
      </c>
      <c r="G80" s="11">
        <v>5929980.0099999998</v>
      </c>
      <c r="H80" s="11">
        <v>5940597.0499999998</v>
      </c>
      <c r="I80" s="11">
        <v>5544668.1900000004</v>
      </c>
      <c r="J80" s="10">
        <f t="shared" si="3"/>
        <v>0.93335200878504299</v>
      </c>
      <c r="K80" s="11">
        <v>193000</v>
      </c>
      <c r="L80" s="11">
        <v>332000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</row>
    <row r="81" spans="1:20" ht="14.25" customHeight="1" x14ac:dyDescent="0.25">
      <c r="A81" s="6" t="s">
        <v>169</v>
      </c>
      <c r="B81" s="7" t="s">
        <v>170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0">
        <f t="shared" si="3"/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</row>
    <row r="82" spans="1:20" ht="14.25" customHeight="1" x14ac:dyDescent="0.25">
      <c r="A82" s="6" t="s">
        <v>171</v>
      </c>
      <c r="B82" s="7" t="s">
        <v>172</v>
      </c>
      <c r="C82" s="11">
        <v>931400</v>
      </c>
      <c r="D82" s="11">
        <v>421070</v>
      </c>
      <c r="E82" s="11">
        <v>4509516</v>
      </c>
      <c r="F82" s="11">
        <v>4509516</v>
      </c>
      <c r="G82" s="11">
        <v>5929980.0099999998</v>
      </c>
      <c r="H82" s="11">
        <v>5940597.0499999998</v>
      </c>
      <c r="I82" s="11">
        <v>5544668.1900000004</v>
      </c>
      <c r="J82" s="10">
        <f t="shared" si="3"/>
        <v>0.93335200878504299</v>
      </c>
      <c r="K82" s="11">
        <v>193000</v>
      </c>
      <c r="L82" s="11">
        <v>332000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</row>
    <row r="83" spans="1:20" ht="27" customHeight="1" x14ac:dyDescent="0.25">
      <c r="A83" s="6" t="s">
        <v>173</v>
      </c>
      <c r="B83" s="7" t="s">
        <v>174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9">
        <v>0</v>
      </c>
      <c r="I83" s="8">
        <v>0</v>
      </c>
      <c r="J83" s="10">
        <f t="shared" si="3"/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</row>
    <row r="84" spans="1:20" ht="39.950000000000003" customHeight="1" x14ac:dyDescent="0.25">
      <c r="A84" s="6" t="s">
        <v>175</v>
      </c>
      <c r="B84" s="7" t="s">
        <v>176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9">
        <v>0</v>
      </c>
      <c r="I84" s="8">
        <v>0</v>
      </c>
      <c r="J84" s="10">
        <f t="shared" si="3"/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</row>
    <row r="85" spans="1:20" ht="52.9" customHeight="1" x14ac:dyDescent="0.25">
      <c r="A85" s="6" t="s">
        <v>177</v>
      </c>
      <c r="B85" s="7" t="s">
        <v>178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9">
        <v>0</v>
      </c>
      <c r="I85" s="8">
        <v>0</v>
      </c>
      <c r="J85" s="10">
        <f t="shared" si="3"/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</row>
    <row r="86" spans="1:20" ht="39.950000000000003" customHeight="1" x14ac:dyDescent="0.25">
      <c r="A86" s="6" t="s">
        <v>179</v>
      </c>
      <c r="B86" s="7" t="s">
        <v>180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9">
        <v>0</v>
      </c>
      <c r="I86" s="8">
        <v>0</v>
      </c>
      <c r="J86" s="10">
        <f t="shared" si="3"/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</row>
    <row r="87" spans="1:20" ht="27" customHeight="1" x14ac:dyDescent="0.25">
      <c r="A87" s="6" t="s">
        <v>181</v>
      </c>
      <c r="B87" s="7" t="s">
        <v>182</v>
      </c>
      <c r="C87" s="11">
        <v>381324.2</v>
      </c>
      <c r="D87" s="11">
        <v>354388.2</v>
      </c>
      <c r="E87" s="11">
        <v>354709</v>
      </c>
      <c r="F87" s="11">
        <v>325737.71000000002</v>
      </c>
      <c r="G87" s="11">
        <v>2399500.2000000002</v>
      </c>
      <c r="H87" s="11">
        <v>2399500.2000000002</v>
      </c>
      <c r="I87" s="11">
        <v>186199</v>
      </c>
      <c r="J87" s="10">
        <f t="shared" si="3"/>
        <v>7.7599076674384107E-2</v>
      </c>
      <c r="K87" s="11">
        <v>503965</v>
      </c>
      <c r="L87" s="11">
        <v>333178.84000000003</v>
      </c>
      <c r="M87" s="11">
        <v>426983</v>
      </c>
      <c r="N87" s="11">
        <v>526983</v>
      </c>
      <c r="O87" s="11">
        <v>610983</v>
      </c>
      <c r="P87" s="11">
        <v>510983</v>
      </c>
      <c r="Q87" s="11">
        <v>520983</v>
      </c>
      <c r="R87" s="11">
        <v>420983</v>
      </c>
      <c r="S87" s="11">
        <v>415041.44</v>
      </c>
      <c r="T87" s="11">
        <v>203553.06</v>
      </c>
    </row>
    <row r="88" spans="1:20" ht="14.25" customHeight="1" x14ac:dyDescent="0.25">
      <c r="A88" s="6" t="s">
        <v>183</v>
      </c>
      <c r="B88" s="7" t="s">
        <v>184</v>
      </c>
      <c r="C88" s="11">
        <v>0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0">
        <f t="shared" si="3"/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</row>
    <row r="89" spans="1:20" ht="27" customHeight="1" x14ac:dyDescent="0.25">
      <c r="A89" s="6" t="s">
        <v>185</v>
      </c>
      <c r="B89" s="7" t="s">
        <v>186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0">
        <f t="shared" si="3"/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</row>
    <row r="90" spans="1:20" ht="27" customHeight="1" x14ac:dyDescent="0.25">
      <c r="A90" s="6" t="s">
        <v>187</v>
      </c>
      <c r="B90" s="7" t="s">
        <v>188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0">
        <f t="shared" si="3"/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</row>
    <row r="91" spans="1:20" ht="14.25" customHeight="1" x14ac:dyDescent="0.25">
      <c r="A91" s="6" t="s">
        <v>189</v>
      </c>
      <c r="B91" s="7" t="s">
        <v>190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0">
        <f t="shared" si="3"/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</row>
    <row r="92" spans="1:20" ht="27" customHeight="1" x14ac:dyDescent="0.25">
      <c r="A92" s="6" t="s">
        <v>191</v>
      </c>
      <c r="B92" s="7" t="s">
        <v>192</v>
      </c>
      <c r="C92" s="11">
        <v>0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0">
        <f t="shared" si="3"/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</row>
    <row r="93" spans="1:20" ht="14.25" customHeight="1" x14ac:dyDescent="0.25">
      <c r="A93" s="6" t="s">
        <v>193</v>
      </c>
      <c r="B93" s="7" t="s">
        <v>194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0">
        <f t="shared" si="3"/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</row>
    <row r="94" spans="1:20" ht="27" customHeight="1" x14ac:dyDescent="0.25">
      <c r="A94" s="6" t="s">
        <v>195</v>
      </c>
      <c r="B94" s="7" t="s">
        <v>196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0">
        <f t="shared" si="3"/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</row>
    <row r="95" spans="1:20" ht="27" customHeight="1" x14ac:dyDescent="0.25">
      <c r="A95" s="6" t="s">
        <v>197</v>
      </c>
      <c r="B95" s="7" t="s">
        <v>198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0">
        <f t="shared" si="3"/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</row>
    <row r="96" spans="1:20" ht="14.25" customHeight="1" x14ac:dyDescent="0.25">
      <c r="A96" s="2" t="s">
        <v>199</v>
      </c>
      <c r="B96" s="3" t="s">
        <v>200</v>
      </c>
      <c r="C96" s="31" t="s">
        <v>119</v>
      </c>
      <c r="D96" s="31" t="s">
        <v>119</v>
      </c>
      <c r="E96" s="31" t="s">
        <v>119</v>
      </c>
      <c r="F96" s="31" t="s">
        <v>119</v>
      </c>
      <c r="G96" s="31" t="s">
        <v>119</v>
      </c>
      <c r="H96" s="31" t="s">
        <v>119</v>
      </c>
      <c r="I96" s="31" t="s">
        <v>119</v>
      </c>
      <c r="J96" s="32" t="e">
        <f t="shared" si="3"/>
        <v>#VALUE!</v>
      </c>
      <c r="K96" s="31" t="s">
        <v>119</v>
      </c>
      <c r="L96" s="31" t="s">
        <v>119</v>
      </c>
      <c r="M96" s="31" t="s">
        <v>119</v>
      </c>
      <c r="N96" s="31" t="s">
        <v>119</v>
      </c>
      <c r="O96" s="31" t="s">
        <v>119</v>
      </c>
      <c r="P96" s="31" t="s">
        <v>119</v>
      </c>
      <c r="Q96" s="31" t="s">
        <v>119</v>
      </c>
      <c r="R96" s="31" t="s">
        <v>119</v>
      </c>
      <c r="S96" s="31" t="s">
        <v>119</v>
      </c>
      <c r="T96" s="31" t="s">
        <v>119</v>
      </c>
    </row>
    <row r="97" spans="1:20" ht="27" customHeight="1" x14ac:dyDescent="0.25">
      <c r="A97" s="6" t="s">
        <v>201</v>
      </c>
      <c r="B97" s="7" t="s">
        <v>202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9">
        <v>0</v>
      </c>
      <c r="I97" s="8">
        <v>0</v>
      </c>
      <c r="J97" s="10">
        <f t="shared" si="3"/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</row>
    <row r="98" spans="1:20" ht="14.25" customHeight="1" x14ac:dyDescent="0.25">
      <c r="A98" s="6" t="s">
        <v>203</v>
      </c>
      <c r="B98" s="7" t="s">
        <v>204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9">
        <v>0</v>
      </c>
      <c r="I98" s="8">
        <v>0</v>
      </c>
      <c r="J98" s="10">
        <f t="shared" si="3"/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</row>
    <row r="99" spans="1:20" ht="39.950000000000003" customHeight="1" x14ac:dyDescent="0.25">
      <c r="A99" s="6" t="s">
        <v>205</v>
      </c>
      <c r="B99" s="7" t="s">
        <v>206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9">
        <v>0</v>
      </c>
      <c r="I99" s="8">
        <v>0</v>
      </c>
      <c r="J99" s="10">
        <f t="shared" si="3"/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</row>
    <row r="100" spans="1:20" hidden="1" x14ac:dyDescent="0.25">
      <c r="A100" s="21" t="s">
        <v>207</v>
      </c>
      <c r="B100" s="22" t="s">
        <v>208</v>
      </c>
      <c r="C100" s="23">
        <v>414432.8</v>
      </c>
      <c r="D100" s="23">
        <v>1361295.53</v>
      </c>
      <c r="E100" s="23">
        <v>0</v>
      </c>
      <c r="F100" s="23">
        <v>248149.58</v>
      </c>
      <c r="G100" s="23">
        <v>0</v>
      </c>
      <c r="H100" s="23">
        <v>0</v>
      </c>
      <c r="I100" s="23">
        <v>470192.75</v>
      </c>
      <c r="J100" s="24"/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</row>
  </sheetData>
  <mergeCells count="5">
    <mergeCell ref="C55:T55"/>
    <mergeCell ref="C58:T58"/>
    <mergeCell ref="C66:T66"/>
    <mergeCell ref="C79:T79"/>
    <mergeCell ref="C96:T96"/>
  </mergeCells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8" sqref="D8"/>
    </sheetView>
  </sheetViews>
  <sheetFormatPr defaultRowHeight="15" x14ac:dyDescent="0.25"/>
  <cols>
    <col min="1" max="1" width="5.85546875" customWidth="1"/>
    <col min="2" max="2" width="33.5703125" customWidth="1"/>
    <col min="3" max="3" width="10.28515625" customWidth="1"/>
    <col min="4" max="4" width="7" customWidth="1"/>
    <col min="5" max="5" width="5.7109375" customWidth="1"/>
    <col min="6" max="6" width="10.5703125" customWidth="1"/>
    <col min="7" max="7" width="10.28515625" customWidth="1"/>
    <col min="8" max="8" width="10.85546875" customWidth="1"/>
    <col min="9" max="9" width="10.42578125" customWidth="1"/>
    <col min="10" max="10" width="7.28515625" customWidth="1"/>
    <col min="11" max="11" width="11.140625" customWidth="1"/>
    <col min="12" max="12" width="7.7109375" customWidth="1"/>
  </cols>
  <sheetData>
    <row r="1" spans="1:12" ht="64.5" x14ac:dyDescent="0.25">
      <c r="A1" s="1" t="s">
        <v>0</v>
      </c>
      <c r="B1" s="1" t="s">
        <v>210</v>
      </c>
      <c r="C1" s="1" t="s">
        <v>211</v>
      </c>
      <c r="D1" s="1" t="s">
        <v>212</v>
      </c>
      <c r="E1" s="1" t="s">
        <v>213</v>
      </c>
      <c r="F1" s="1" t="s">
        <v>214</v>
      </c>
      <c r="G1" s="1" t="s">
        <v>215</v>
      </c>
      <c r="H1" s="1" t="s">
        <v>216</v>
      </c>
      <c r="I1" s="1" t="s">
        <v>209</v>
      </c>
      <c r="J1" s="1" t="s">
        <v>217</v>
      </c>
      <c r="K1" s="1" t="s">
        <v>218</v>
      </c>
      <c r="L1" s="1" t="s">
        <v>219</v>
      </c>
    </row>
    <row r="2" spans="1:12" ht="14.25" customHeight="1" x14ac:dyDescent="0.25">
      <c r="A2" s="2" t="s">
        <v>20</v>
      </c>
      <c r="B2" s="3" t="s">
        <v>220</v>
      </c>
      <c r="C2" s="3"/>
      <c r="D2" s="28"/>
      <c r="E2" s="28"/>
      <c r="F2" s="25">
        <f>IF(ISNUMBER(VLOOKUP("1.1",A2:L19,6,FALSE)),ROUND(VLOOKUP("1.1",A2:L19,6,FALSE),4),0) + IF(ISNUMBER(VLOOKUP("1.2",A2:L19,6,FALSE)),ROUND(VLOOKUP("1.2",A2:L19,6,FALSE),4),0) + IF(ISNUMBER(VLOOKUP("1.3",A2:L19,6,FALSE)),ROUND(VLOOKUP("1.3",A2:L19,6,FALSE),4),0)</f>
        <v>6465597.0499999998</v>
      </c>
      <c r="G2" s="25">
        <f>IF(ISNUMBER(VLOOKUP("1.1",A2:L19,7,FALSE)),ROUND(VLOOKUP("1.1",A2:L19,7,FALSE),4),0) + IF(ISNUMBER(VLOOKUP("1.2",A2:L19,7,FALSE)),ROUND(VLOOKUP("1.2",A2:L19,7,FALSE),4),0) + IF(ISNUMBER(VLOOKUP("1.3",A2:L19,7,FALSE)),ROUND(VLOOKUP("1.3",A2:L19,7,FALSE),4),0)</f>
        <v>5929980.0099999998</v>
      </c>
      <c r="H2" s="25">
        <f>IF(ISNUMBER(VLOOKUP("1.1",A2:L19,8,FALSE)),ROUND(VLOOKUP("1.1",A2:L19,8,FALSE),4),0) + IF(ISNUMBER(VLOOKUP("1.2",A2:L19,8,FALSE)),ROUND(VLOOKUP("1.2",A2:L19,8,FALSE),4),0) + IF(ISNUMBER(VLOOKUP("1.3",A2:L19,8,FALSE)),ROUND(VLOOKUP("1.3",A2:L19,8,FALSE),4),0)</f>
        <v>5940597.0499999998</v>
      </c>
      <c r="I2" s="4">
        <f>IF(ISNUMBER(VLOOKUP("1.1",A2:L19,9,FALSE)),ROUND(VLOOKUP("1.1",A2:L19,9,FALSE),4),0) + IF(ISNUMBER(VLOOKUP("1.2",A2:L19,9,FALSE)),ROUND(VLOOKUP("1.2",A2:L19,9,FALSE),4),0) + IF(ISNUMBER(VLOOKUP("1.3",A2:L19,9,FALSE)),ROUND(VLOOKUP("1.3",A2:L19,9,FALSE),4),0)</f>
        <v>5544668.1900000004</v>
      </c>
      <c r="J2" s="5">
        <f t="shared" ref="J2:J18" si="0">IF($H2=0,0,$I2/$H2)</f>
        <v>0.93335200878504299</v>
      </c>
      <c r="K2" s="25">
        <f>IF(ISNUMBER(VLOOKUP("1.1",A2:L19,11,FALSE)),ROUND(VLOOKUP("1.1",A2:L19,11,FALSE),4),0) + IF(ISNUMBER(VLOOKUP("1.2",A2:L19,11,FALSE)),ROUND(VLOOKUP("1.2",A2:L19,11,FALSE),4),0) + IF(ISNUMBER(VLOOKUP("1.3",A2:L19,11,FALSE)),ROUND(VLOOKUP("1.3",A2:L19,11,FALSE),4),0)</f>
        <v>6454980.0099999998</v>
      </c>
      <c r="L2" s="4">
        <f>IF(ISNUMBER(VLOOKUP("1.1",A2:L19,12,FALSE)),ROUND(VLOOKUP("1.1",A2:L19,12,FALSE),4),0) + IF(ISNUMBER(VLOOKUP("1.2",A2:L19,12,FALSE)),ROUND(VLOOKUP("1.2",A2:L19,12,FALSE),4),0) + IF(ISNUMBER(VLOOKUP("1.3",A2:L19,12,FALSE)),ROUND(VLOOKUP("1.3",A2:L19,12,FALSE),4),0)</f>
        <v>0</v>
      </c>
    </row>
    <row r="3" spans="1:12" ht="14.25" customHeight="1" x14ac:dyDescent="0.25">
      <c r="A3" s="2" t="s">
        <v>221</v>
      </c>
      <c r="B3" s="3" t="s">
        <v>222</v>
      </c>
      <c r="C3" s="3"/>
      <c r="D3" s="28"/>
      <c r="E3" s="28"/>
      <c r="F3" s="25">
        <f>IF(ISNUMBER(VLOOKUP("1.1.1",A2:L19,6,FALSE)),ROUND(VLOOKUP("1.1.1",A2:L19,6,FALSE),4),0) + IF(ISNUMBER(VLOOKUP("1.2.1",A2:L19,6,FALSE)),ROUND(VLOOKUP("1.2.1",A2:L19,6,FALSE),4),0) + IF(ISNUMBER(VLOOKUP("1.3.1",A2:L19,6,FALSE)),ROUND(VLOOKUP("1.3.1",A2:L19,6,FALSE),4),0)</f>
        <v>0</v>
      </c>
      <c r="G3" s="25">
        <f>IF(ISNUMBER(VLOOKUP("1.1.1",A2:L19,7,FALSE)),ROUND(VLOOKUP("1.1.1",A2:L19,7,FALSE),4),0) + IF(ISNUMBER(VLOOKUP("1.2.1",A2:L19,7,FALSE)),ROUND(VLOOKUP("1.2.1",A2:L19,7,FALSE),4),0) + IF(ISNUMBER(VLOOKUP("1.3.1",A2:L19,7,FALSE)),ROUND(VLOOKUP("1.3.1",A2:L19,7,FALSE),4),0)</f>
        <v>0</v>
      </c>
      <c r="H3" s="25">
        <f>IF(ISNUMBER(VLOOKUP("1.1.1",A2:L19,8,FALSE)),ROUND(VLOOKUP("1.1.1",A2:L19,8,FALSE),4),0) + IF(ISNUMBER(VLOOKUP("1.2.1",A2:L19,8,FALSE)),ROUND(VLOOKUP("1.2.1",A2:L19,8,FALSE),4),0) + IF(ISNUMBER(VLOOKUP("1.3.1",A2:L19,8,FALSE)),ROUND(VLOOKUP("1.3.1",A2:L19,8,FALSE),4),0)</f>
        <v>0</v>
      </c>
      <c r="I3" s="4">
        <f>IF(ISNUMBER(VLOOKUP("1.1.1",A2:L19,9,FALSE)),ROUND(VLOOKUP("1.1.1",A2:L19,9,FALSE),4),0) + IF(ISNUMBER(VLOOKUP("1.2.1",A2:L19,9,FALSE)),ROUND(VLOOKUP("1.2.1",A2:L19,9,FALSE),4),0) + IF(ISNUMBER(VLOOKUP("1.3.1",A2:L19,9,FALSE)),ROUND(VLOOKUP("1.3.1",A2:L19,9,FALSE),4),0)</f>
        <v>0</v>
      </c>
      <c r="J3" s="5">
        <f t="shared" si="0"/>
        <v>0</v>
      </c>
      <c r="K3" s="25">
        <f>IF(ISNUMBER(VLOOKUP("1.1.1",A2:L19,11,FALSE)),ROUND(VLOOKUP("1.1.1",A2:L19,11,FALSE),4),0) + IF(ISNUMBER(VLOOKUP("1.2.1",A2:L19,11,FALSE)),ROUND(VLOOKUP("1.2.1",A2:L19,11,FALSE),4),0) + IF(ISNUMBER(VLOOKUP("1.3.1",A2:L19,11,FALSE)),ROUND(VLOOKUP("1.3.1",A2:L19,11,FALSE),4),0)</f>
        <v>0</v>
      </c>
      <c r="L3" s="4">
        <f>IF(ISNUMBER(VLOOKUP("1.1.1",A2:L19,12,FALSE)),ROUND(VLOOKUP("1.1.1",A2:L19,12,FALSE),4),0) + IF(ISNUMBER(VLOOKUP("1.2.1",A2:L19,12,FALSE)),ROUND(VLOOKUP("1.2.1",A2:L19,12,FALSE),4),0) + IF(ISNUMBER(VLOOKUP("1.3.1",A2:L19,12,FALSE)),ROUND(VLOOKUP("1.3.1",A2:L19,12,FALSE),4),0)</f>
        <v>0</v>
      </c>
    </row>
    <row r="4" spans="1:12" ht="14.25" customHeight="1" x14ac:dyDescent="0.25">
      <c r="A4" s="2" t="s">
        <v>223</v>
      </c>
      <c r="B4" s="3" t="s">
        <v>224</v>
      </c>
      <c r="C4" s="3"/>
      <c r="D4" s="28"/>
      <c r="E4" s="28"/>
      <c r="F4" s="25">
        <f>IF(ISNUMBER(VLOOKUP("1.1.2",A2:L19,6,FALSE)),ROUND(VLOOKUP("1.1.2",A2:L19,6,FALSE),4),0) + IF(ISNUMBER(VLOOKUP("1.2.2",A2:L19,6,FALSE)),ROUND(VLOOKUP("1.2.2",A2:L19,6,FALSE),4),0) + IF(ISNUMBER(VLOOKUP("1.3.2",A2:L19,6,FALSE)),ROUND(VLOOKUP("1.3.2",A2:L19,6,FALSE),4),0)</f>
        <v>6465597.0499999998</v>
      </c>
      <c r="G4" s="25">
        <f>IF(ISNUMBER(VLOOKUP("1.1.2",A2:L19,7,FALSE)),ROUND(VLOOKUP("1.1.2",A2:L19,7,FALSE),4),0) + IF(ISNUMBER(VLOOKUP("1.2.2",A2:L19,7,FALSE)),ROUND(VLOOKUP("1.2.2",A2:L19,7,FALSE),4),0) + IF(ISNUMBER(VLOOKUP("1.3.2",A2:L19,7,FALSE)),ROUND(VLOOKUP("1.3.2",A2:L19,7,FALSE),4),0)</f>
        <v>5929980.0099999998</v>
      </c>
      <c r="H4" s="25">
        <f>IF(ISNUMBER(VLOOKUP("1.1.2",A2:L19,8,FALSE)),ROUND(VLOOKUP("1.1.2",A2:L19,8,FALSE),4),0) + IF(ISNUMBER(VLOOKUP("1.2.2",A2:L19,8,FALSE)),ROUND(VLOOKUP("1.2.2",A2:L19,8,FALSE),4),0) + IF(ISNUMBER(VLOOKUP("1.3.2",A2:L19,8,FALSE)),ROUND(VLOOKUP("1.3.2",A2:L19,8,FALSE),4),0)</f>
        <v>5940597.0499999998</v>
      </c>
      <c r="I4" s="4">
        <f>IF(ISNUMBER(VLOOKUP("1.1.2",A2:L19,9,FALSE)),ROUND(VLOOKUP("1.1.2",A2:L19,9,FALSE),4),0) + IF(ISNUMBER(VLOOKUP("1.2.2",A2:L19,9,FALSE)),ROUND(VLOOKUP("1.2.2",A2:L19,9,FALSE),4),0) + IF(ISNUMBER(VLOOKUP("1.3.2",A2:L19,9,FALSE)),ROUND(VLOOKUP("1.3.2",A2:L19,9,FALSE),4),0)</f>
        <v>5544668.1900000004</v>
      </c>
      <c r="J4" s="5">
        <f t="shared" si="0"/>
        <v>0.93335200878504299</v>
      </c>
      <c r="K4" s="25">
        <f>IF(ISNUMBER(VLOOKUP("1.1.2",A2:L19,11,FALSE)),ROUND(VLOOKUP("1.1.2",A2:L19,11,FALSE),4),0) + IF(ISNUMBER(VLOOKUP("1.2.2",A2:L19,11,FALSE)),ROUND(VLOOKUP("1.2.2",A2:L19,11,FALSE),4),0) + IF(ISNUMBER(VLOOKUP("1.3.2",A2:L19,11,FALSE)),ROUND(VLOOKUP("1.3.2",A2:L19,11,FALSE),4),0)</f>
        <v>6454980.0099999998</v>
      </c>
      <c r="L4" s="4">
        <f>IF(ISNUMBER(VLOOKUP("1.1.2",A2:L19,12,FALSE)),ROUND(VLOOKUP("1.1.2",A2:L19,12,FALSE),4),0) + IF(ISNUMBER(VLOOKUP("1.2.2",A2:L19,12,FALSE)),ROUND(VLOOKUP("1.2.2",A2:L19,12,FALSE),4),0) + IF(ISNUMBER(VLOOKUP("1.3.2",A2:L19,12,FALSE)),ROUND(VLOOKUP("1.3.2",A2:L19,12,FALSE),4),0)</f>
        <v>0</v>
      </c>
    </row>
    <row r="5" spans="1:12" ht="65.650000000000006" customHeight="1" x14ac:dyDescent="0.25">
      <c r="A5" s="2" t="s">
        <v>22</v>
      </c>
      <c r="B5" s="3" t="s">
        <v>225</v>
      </c>
      <c r="C5" s="3"/>
      <c r="D5" s="28"/>
      <c r="E5" s="28"/>
      <c r="F5" s="25">
        <f>IF(ISNUMBER(VLOOKUP("1.1.1",A2:L19,6,FALSE)),ROUND(VLOOKUP("1.1.1",A2:L19,6,FALSE),4),0) + IF(ISNUMBER(VLOOKUP("1.1.2",A2:L19,6,FALSE)),ROUND(VLOOKUP("1.1.2",A2:L19,6,FALSE),4),0)</f>
        <v>5849497.0499999998</v>
      </c>
      <c r="G5" s="25">
        <f>IF(ISNUMBER(VLOOKUP("1.1.1",A2:L19,7,FALSE)),ROUND(VLOOKUP("1.1.1",A2:L19,7,FALSE),4),0) + IF(ISNUMBER(VLOOKUP("1.1.2",A2:L19,7,FALSE)),ROUND(VLOOKUP("1.1.2",A2:L19,7,FALSE),4),0)</f>
        <v>5838880.0099999998</v>
      </c>
      <c r="H5" s="25">
        <f>IF(ISNUMBER(VLOOKUP("1.1.1",A2:L19,8,FALSE)),ROUND(VLOOKUP("1.1.1",A2:L19,8,FALSE),4),0) + IF(ISNUMBER(VLOOKUP("1.1.2",A2:L19,8,FALSE)),ROUND(VLOOKUP("1.1.2",A2:L19,8,FALSE),4),0)</f>
        <v>5849497.0499999998</v>
      </c>
      <c r="I5" s="4">
        <f>IF(ISNUMBER(VLOOKUP("1.1.1",A2:L19,9,FALSE)),ROUND(VLOOKUP("1.1.1",A2:L19,9,FALSE),4),0) + IF(ISNUMBER(VLOOKUP("1.1.2",A2:L19,9,FALSE)),ROUND(VLOOKUP("1.1.2",A2:L19,9,FALSE),4),0)</f>
        <v>5544668.1900000004</v>
      </c>
      <c r="J5" s="5">
        <f t="shared" si="0"/>
        <v>0.94788802227022251</v>
      </c>
      <c r="K5" s="25">
        <f>IF(ISNUMBER(VLOOKUP("1.1.1",A2:L19,11,FALSE)),ROUND(VLOOKUP("1.1.1",A2:L19,11,FALSE),4),0) + IF(ISNUMBER(VLOOKUP("1.1.2",A2:L19,11,FALSE)),ROUND(VLOOKUP("1.1.2",A2:L19,11,FALSE),4),0)</f>
        <v>5838880.0099999998</v>
      </c>
      <c r="L5" s="4">
        <f>IF(ISNUMBER(VLOOKUP("1.1.1",A2:L19,12,FALSE)),ROUND(VLOOKUP("1.1.1",A2:L19,12,FALSE),4),0) + IF(ISNUMBER(VLOOKUP("1.1.2",A2:L19,12,FALSE)),ROUND(VLOOKUP("1.1.2",A2:L19,12,FALSE),4),0)</f>
        <v>0</v>
      </c>
    </row>
    <row r="6" spans="1:12" ht="14.25" customHeight="1" x14ac:dyDescent="0.25">
      <c r="A6" s="2" t="s">
        <v>24</v>
      </c>
      <c r="B6" s="3" t="s">
        <v>222</v>
      </c>
      <c r="C6" s="3"/>
      <c r="D6" s="28"/>
      <c r="E6" s="28"/>
      <c r="F6" s="25">
        <f>SUMIF(A7:A19, "1.1.1.*", F7:F19)</f>
        <v>0</v>
      </c>
      <c r="G6" s="25">
        <f>SUMIF(A7:A19, "1.1.1.*", G7:G19)</f>
        <v>0</v>
      </c>
      <c r="H6" s="25">
        <f>SUMIF(A7:A19, "1.1.1.*", H7:H19)</f>
        <v>0</v>
      </c>
      <c r="I6" s="4">
        <f>SUMIF(A7:A19, "1.1.1.*", I7:I19)</f>
        <v>0</v>
      </c>
      <c r="J6" s="5">
        <f t="shared" si="0"/>
        <v>0</v>
      </c>
      <c r="K6" s="25">
        <f>SUMIF(A7:A19, "1.1.1.*", K7:K19)</f>
        <v>0</v>
      </c>
      <c r="L6" s="4">
        <f>SUMIF(A7:A19, "1.1.1.*", L7:L19)</f>
        <v>0</v>
      </c>
    </row>
    <row r="7" spans="1:12" ht="14.25" customHeight="1" x14ac:dyDescent="0.25">
      <c r="A7" s="2" t="s">
        <v>26</v>
      </c>
      <c r="B7" s="3" t="s">
        <v>224</v>
      </c>
      <c r="C7" s="3"/>
      <c r="D7" s="28"/>
      <c r="E7" s="28"/>
      <c r="F7" s="25">
        <f>SUMIF(A8:A19, "1.1.2.*", F8:F19)</f>
        <v>5849497.0499999998</v>
      </c>
      <c r="G7" s="25">
        <f>SUMIF(A8:A19, "1.1.2.*", G8:G19)</f>
        <v>5838880.0099999998</v>
      </c>
      <c r="H7" s="25">
        <f>SUMIF(A8:A19, "1.1.2.*", H8:H19)</f>
        <v>5849497.0499999998</v>
      </c>
      <c r="I7" s="4">
        <f>SUMIF(A8:A19, "1.1.2.*", I8:I19)</f>
        <v>5544668.1900000004</v>
      </c>
      <c r="J7" s="5">
        <f t="shared" si="0"/>
        <v>0.94788802227022251</v>
      </c>
      <c r="K7" s="25">
        <f>SUMIF(A8:A19, "1.1.2.*", K8:K19)</f>
        <v>5838880.0099999998</v>
      </c>
      <c r="L7" s="4">
        <f>SUMIF(A8:A19, "1.1.2.*", L8:L19)</f>
        <v>0</v>
      </c>
    </row>
    <row r="8" spans="1:12" ht="27" customHeight="1" x14ac:dyDescent="0.25">
      <c r="A8" s="6" t="s">
        <v>226</v>
      </c>
      <c r="B8" s="7" t="s">
        <v>227</v>
      </c>
      <c r="C8" s="26" t="s">
        <v>228</v>
      </c>
      <c r="D8" s="29">
        <v>2017</v>
      </c>
      <c r="E8" s="29">
        <v>2020</v>
      </c>
      <c r="F8" s="27">
        <v>4948880.01</v>
      </c>
      <c r="G8" s="27">
        <v>4948880.01</v>
      </c>
      <c r="H8" s="27">
        <v>4948880.01</v>
      </c>
      <c r="I8" s="8">
        <v>4645702.07</v>
      </c>
      <c r="J8" s="10">
        <f t="shared" si="0"/>
        <v>0.93873807015175548</v>
      </c>
      <c r="K8" s="27">
        <v>4948880.01</v>
      </c>
      <c r="L8" s="8" t="s">
        <v>119</v>
      </c>
    </row>
    <row r="9" spans="1:12" ht="27" customHeight="1" x14ac:dyDescent="0.25">
      <c r="A9" s="6" t="s">
        <v>229</v>
      </c>
      <c r="B9" s="7" t="s">
        <v>230</v>
      </c>
      <c r="C9" s="26" t="s">
        <v>228</v>
      </c>
      <c r="D9" s="29">
        <v>2017</v>
      </c>
      <c r="E9" s="29">
        <v>2020</v>
      </c>
      <c r="F9" s="27">
        <v>900617.04</v>
      </c>
      <c r="G9" s="27">
        <v>890000</v>
      </c>
      <c r="H9" s="27">
        <v>900617.04</v>
      </c>
      <c r="I9" s="8">
        <v>898966.12</v>
      </c>
      <c r="J9" s="10">
        <f t="shared" si="0"/>
        <v>0.99816690121697005</v>
      </c>
      <c r="K9" s="27">
        <v>890000</v>
      </c>
      <c r="L9" s="8" t="s">
        <v>119</v>
      </c>
    </row>
    <row r="10" spans="1:12" ht="27" customHeight="1" x14ac:dyDescent="0.25">
      <c r="A10" s="2" t="s">
        <v>38</v>
      </c>
      <c r="B10" s="3" t="s">
        <v>231</v>
      </c>
      <c r="C10" s="3"/>
      <c r="D10" s="28"/>
      <c r="E10" s="28"/>
      <c r="F10" s="25">
        <f>IF(ISNUMBER(VLOOKUP("1.2.1",A2:L19,6,FALSE)),ROUND(VLOOKUP("1.2.1",A2:L19,6,FALSE),4),0) + IF(ISNUMBER(VLOOKUP("1.2.2",A2:L19,6,FALSE)),ROUND(VLOOKUP("1.2.2",A2:L19,6,FALSE),4),0)</f>
        <v>0</v>
      </c>
      <c r="G10" s="25">
        <f>IF(ISNUMBER(VLOOKUP("1.2.1",A2:L19,7,FALSE)),ROUND(VLOOKUP("1.2.1",A2:L19,7,FALSE),4),0) + IF(ISNUMBER(VLOOKUP("1.2.2",A2:L19,7,FALSE)),ROUND(VLOOKUP("1.2.2",A2:L19,7,FALSE),4),0)</f>
        <v>0</v>
      </c>
      <c r="H10" s="25">
        <f>IF(ISNUMBER(VLOOKUP("1.2.1",A2:L19,8,FALSE)),ROUND(VLOOKUP("1.2.1",A2:L19,8,FALSE),4),0) + IF(ISNUMBER(VLOOKUP("1.2.2",A2:L19,8,FALSE)),ROUND(VLOOKUP("1.2.2",A2:L19,8,FALSE),4),0)</f>
        <v>0</v>
      </c>
      <c r="I10" s="4">
        <f>IF(ISNUMBER(VLOOKUP("1.2.1",A2:L19,9,FALSE)),ROUND(VLOOKUP("1.2.1",A2:L19,9,FALSE),4),0) + IF(ISNUMBER(VLOOKUP("1.2.2",A2:L19,9,FALSE)),ROUND(VLOOKUP("1.2.2",A2:L19,9,FALSE),4),0)</f>
        <v>0</v>
      </c>
      <c r="J10" s="5">
        <f t="shared" si="0"/>
        <v>0</v>
      </c>
      <c r="K10" s="25">
        <f>IF(ISNUMBER(VLOOKUP("1.2.1",A2:L19,11,FALSE)),ROUND(VLOOKUP("1.2.1",A2:L19,11,FALSE),4),0) + IF(ISNUMBER(VLOOKUP("1.2.2",A2:L19,11,FALSE)),ROUND(VLOOKUP("1.2.2",A2:L19,11,FALSE),4),0)</f>
        <v>0</v>
      </c>
      <c r="L10" s="4">
        <f>IF(ISNUMBER(VLOOKUP("1.2.1",A2:L19,12,FALSE)),ROUND(VLOOKUP("1.2.1",A2:L19,12,FALSE),4),0) + IF(ISNUMBER(VLOOKUP("1.2.2",A2:L19,12,FALSE)),ROUND(VLOOKUP("1.2.2",A2:L19,12,FALSE),4),0)</f>
        <v>0</v>
      </c>
    </row>
    <row r="11" spans="1:12" ht="14.25" customHeight="1" x14ac:dyDescent="0.25">
      <c r="A11" s="2" t="s">
        <v>40</v>
      </c>
      <c r="B11" s="3" t="s">
        <v>222</v>
      </c>
      <c r="C11" s="3"/>
      <c r="D11" s="28"/>
      <c r="E11" s="28"/>
      <c r="F11" s="25">
        <f>SUMIF(A12:A19, "1.2.1.*", F12:F19)</f>
        <v>0</v>
      </c>
      <c r="G11" s="25">
        <f>SUMIF(A12:A19, "1.2.1.*", G12:G19)</f>
        <v>0</v>
      </c>
      <c r="H11" s="25">
        <f>SUMIF(A12:A19, "1.2.1.*", H12:H19)</f>
        <v>0</v>
      </c>
      <c r="I11" s="4">
        <f>SUMIF(A12:A19, "1.2.1.*", I12:I19)</f>
        <v>0</v>
      </c>
      <c r="J11" s="5">
        <f t="shared" si="0"/>
        <v>0</v>
      </c>
      <c r="K11" s="25">
        <f>SUMIF(A12:A19, "1.2.1.*", K12:K19)</f>
        <v>0</v>
      </c>
      <c r="L11" s="4">
        <f>SUMIF(A12:A19, "1.2.1.*", L12:L19)</f>
        <v>0</v>
      </c>
    </row>
    <row r="12" spans="1:12" ht="14.25" customHeight="1" x14ac:dyDescent="0.25">
      <c r="A12" s="2" t="s">
        <v>42</v>
      </c>
      <c r="B12" s="3" t="s">
        <v>224</v>
      </c>
      <c r="C12" s="3"/>
      <c r="D12" s="28"/>
      <c r="E12" s="28"/>
      <c r="F12" s="25">
        <f>SUMIF(A13:A19, "1.2.2.*", F13:F19)</f>
        <v>0</v>
      </c>
      <c r="G12" s="25">
        <f>SUMIF(A13:A19, "1.2.2.*", G13:G19)</f>
        <v>0</v>
      </c>
      <c r="H12" s="25">
        <f>SUMIF(A13:A19, "1.2.2.*", H13:H19)</f>
        <v>0</v>
      </c>
      <c r="I12" s="4">
        <f>SUMIF(A13:A19, "1.2.2.*", I13:I19)</f>
        <v>0</v>
      </c>
      <c r="J12" s="5">
        <f t="shared" si="0"/>
        <v>0</v>
      </c>
      <c r="K12" s="25">
        <f>SUMIF(A13:A19, "1.2.2.*", K13:K19)</f>
        <v>0</v>
      </c>
      <c r="L12" s="4">
        <f>SUMIF(A13:A19, "1.2.2.*", L13:L19)</f>
        <v>0</v>
      </c>
    </row>
    <row r="13" spans="1:12" ht="27" customHeight="1" x14ac:dyDescent="0.25">
      <c r="A13" s="2" t="s">
        <v>232</v>
      </c>
      <c r="B13" s="3" t="s">
        <v>233</v>
      </c>
      <c r="C13" s="3"/>
      <c r="D13" s="28"/>
      <c r="E13" s="28"/>
      <c r="F13" s="25">
        <f>IF(ISNUMBER(VLOOKUP("1.3.1",A2:L19,6,FALSE)),ROUND(VLOOKUP("1.3.1",A2:L19,6,FALSE),4),0) + IF(ISNUMBER(VLOOKUP("1.3.2",A2:L19,6,FALSE)),ROUND(VLOOKUP("1.3.2",A2:L19,6,FALSE),4),0)</f>
        <v>616100</v>
      </c>
      <c r="G13" s="25">
        <f>IF(ISNUMBER(VLOOKUP("1.3.1",A2:L19,7,FALSE)),ROUND(VLOOKUP("1.3.1",A2:L19,7,FALSE),4),0) + IF(ISNUMBER(VLOOKUP("1.3.2",A2:L19,7,FALSE)),ROUND(VLOOKUP("1.3.2",A2:L19,7,FALSE),4),0)</f>
        <v>91100</v>
      </c>
      <c r="H13" s="25">
        <f>IF(ISNUMBER(VLOOKUP("1.3.1",A2:L19,8,FALSE)),ROUND(VLOOKUP("1.3.1",A2:L19,8,FALSE),4),0) + IF(ISNUMBER(VLOOKUP("1.3.2",A2:L19,8,FALSE)),ROUND(VLOOKUP("1.3.2",A2:L19,8,FALSE),4),0)</f>
        <v>91100</v>
      </c>
      <c r="I13" s="4">
        <f>IF(ISNUMBER(VLOOKUP("1.3.1",A2:L19,9,FALSE)),ROUND(VLOOKUP("1.3.1",A2:L19,9,FALSE),4),0) + IF(ISNUMBER(VLOOKUP("1.3.2",A2:L19,9,FALSE)),ROUND(VLOOKUP("1.3.2",A2:L19,9,FALSE),4),0)</f>
        <v>0</v>
      </c>
      <c r="J13" s="5">
        <f t="shared" si="0"/>
        <v>0</v>
      </c>
      <c r="K13" s="25">
        <f>IF(ISNUMBER(VLOOKUP("1.3.1",A2:L19,11,FALSE)),ROUND(VLOOKUP("1.3.1",A2:L19,11,FALSE),4),0) + IF(ISNUMBER(VLOOKUP("1.3.2",A2:L19,11,FALSE)),ROUND(VLOOKUP("1.3.2",A2:L19,11,FALSE),4),0)</f>
        <v>616100</v>
      </c>
      <c r="L13" s="4">
        <f>IF(ISNUMBER(VLOOKUP("1.3.1",A2:L19,12,FALSE)),ROUND(VLOOKUP("1.3.1",A2:L19,12,FALSE),4),0) + IF(ISNUMBER(VLOOKUP("1.3.2",A2:L19,12,FALSE)),ROUND(VLOOKUP("1.3.2",A2:L19,12,FALSE),4),0)</f>
        <v>0</v>
      </c>
    </row>
    <row r="14" spans="1:12" ht="14.25" customHeight="1" x14ac:dyDescent="0.25">
      <c r="A14" s="2" t="s">
        <v>234</v>
      </c>
      <c r="B14" s="3" t="s">
        <v>222</v>
      </c>
      <c r="C14" s="3"/>
      <c r="D14" s="28"/>
      <c r="E14" s="28"/>
      <c r="F14" s="25">
        <f>SUMIF(A15:A19, "1.3.1.*", F15:F19)</f>
        <v>0</v>
      </c>
      <c r="G14" s="25">
        <f>SUMIF(A15:A19, "1.3.1.*", G15:G19)</f>
        <v>0</v>
      </c>
      <c r="H14" s="25">
        <f>SUMIF(A15:A19, "1.3.1.*", H15:H19)</f>
        <v>0</v>
      </c>
      <c r="I14" s="4">
        <f>SUMIF(A15:A19, "1.3.1.*", I15:I19)</f>
        <v>0</v>
      </c>
      <c r="J14" s="5">
        <f t="shared" si="0"/>
        <v>0</v>
      </c>
      <c r="K14" s="25">
        <f>SUMIF(A15:A19, "1.3.1.*", K15:K19)</f>
        <v>0</v>
      </c>
      <c r="L14" s="4">
        <f>SUMIF(A15:A19, "1.3.1.*", L15:L19)</f>
        <v>0</v>
      </c>
    </row>
    <row r="15" spans="1:12" ht="14.25" customHeight="1" x14ac:dyDescent="0.25">
      <c r="A15" s="2" t="s">
        <v>235</v>
      </c>
      <c r="B15" s="3" t="s">
        <v>224</v>
      </c>
      <c r="C15" s="3"/>
      <c r="D15" s="28"/>
      <c r="E15" s="28"/>
      <c r="F15" s="25">
        <f>SUMIF(A16:A19, "1.3.2.*", F16:F19)</f>
        <v>616100</v>
      </c>
      <c r="G15" s="25">
        <f>SUMIF(A16:A19, "1.3.2.*", G16:G19)</f>
        <v>91100</v>
      </c>
      <c r="H15" s="25">
        <f>SUMIF(A16:A19, "1.3.2.*", H16:H19)</f>
        <v>91100</v>
      </c>
      <c r="I15" s="4">
        <f>SUMIF(A16:A19, "1.3.2.*", I16:I19)</f>
        <v>0</v>
      </c>
      <c r="J15" s="5">
        <f t="shared" si="0"/>
        <v>0</v>
      </c>
      <c r="K15" s="25">
        <f>SUMIF(A16:A19, "1.3.2.*", K16:K19)</f>
        <v>616100</v>
      </c>
      <c r="L15" s="4">
        <f>SUMIF(A16:A19, "1.3.2.*", L16:L19)</f>
        <v>0</v>
      </c>
    </row>
    <row r="16" spans="1:12" ht="39.950000000000003" customHeight="1" x14ac:dyDescent="0.25">
      <c r="A16" s="6" t="s">
        <v>236</v>
      </c>
      <c r="B16" s="7" t="s">
        <v>237</v>
      </c>
      <c r="C16" s="26" t="s">
        <v>228</v>
      </c>
      <c r="D16" s="29">
        <v>2020</v>
      </c>
      <c r="E16" s="29">
        <v>2022</v>
      </c>
      <c r="F16" s="27">
        <v>450000</v>
      </c>
      <c r="G16" s="27">
        <v>0</v>
      </c>
      <c r="H16" s="27">
        <v>0</v>
      </c>
      <c r="I16" s="8">
        <v>0</v>
      </c>
      <c r="J16" s="10">
        <f t="shared" si="0"/>
        <v>0</v>
      </c>
      <c r="K16" s="27">
        <v>450000</v>
      </c>
      <c r="L16" s="8" t="s">
        <v>119</v>
      </c>
    </row>
    <row r="17" spans="1:12" ht="27" customHeight="1" x14ac:dyDescent="0.25">
      <c r="A17" s="6" t="s">
        <v>238</v>
      </c>
      <c r="B17" s="7" t="s">
        <v>239</v>
      </c>
      <c r="C17" s="26" t="s">
        <v>228</v>
      </c>
      <c r="D17" s="29">
        <v>2017</v>
      </c>
      <c r="E17" s="29">
        <v>2022</v>
      </c>
      <c r="F17" s="27">
        <v>150000</v>
      </c>
      <c r="G17" s="27">
        <v>75000</v>
      </c>
      <c r="H17" s="27">
        <v>75000</v>
      </c>
      <c r="I17" s="8">
        <v>0</v>
      </c>
      <c r="J17" s="10">
        <f t="shared" si="0"/>
        <v>0</v>
      </c>
      <c r="K17" s="27">
        <v>150000</v>
      </c>
      <c r="L17" s="8" t="s">
        <v>119</v>
      </c>
    </row>
    <row r="18" spans="1:12" ht="27" customHeight="1" x14ac:dyDescent="0.25">
      <c r="A18" s="6" t="s">
        <v>240</v>
      </c>
      <c r="B18" s="7" t="s">
        <v>241</v>
      </c>
      <c r="C18" s="26" t="s">
        <v>228</v>
      </c>
      <c r="D18" s="29">
        <v>2020</v>
      </c>
      <c r="E18" s="29">
        <v>2021</v>
      </c>
      <c r="F18" s="27">
        <v>16100</v>
      </c>
      <c r="G18" s="27">
        <v>16100</v>
      </c>
      <c r="H18" s="27">
        <v>16100</v>
      </c>
      <c r="I18" s="8">
        <v>0</v>
      </c>
      <c r="J18" s="10">
        <f t="shared" si="0"/>
        <v>0</v>
      </c>
      <c r="K18" s="27">
        <v>16100</v>
      </c>
      <c r="L18" s="8" t="s">
        <v>119</v>
      </c>
    </row>
  </sheetData>
  <conditionalFormatting sqref="B6:L6">
    <cfRule type="beginsWith" dxfId="11" priority="1" operator="beginsWith" text="Tak">
      <formula>LEFT(B6,LEN("Tak"))="Tak"</formula>
    </cfRule>
    <cfRule type="beginsWith" dxfId="10" priority="2" operator="beginsWith" text="Nie">
      <formula>LEFT(B6,LEN("Nie"))="Nie"</formula>
    </cfRule>
  </conditionalFormatting>
  <conditionalFormatting sqref="B7:L7">
    <cfRule type="beginsWith" dxfId="9" priority="3" operator="beginsWith" text="Tak">
      <formula>LEFT(B7,LEN("Tak"))="Tak"</formula>
    </cfRule>
    <cfRule type="beginsWith" dxfId="8" priority="4" operator="beginsWith" text="Nie">
      <formula>LEFT(B7,LEN("Nie"))="Nie"</formula>
    </cfRule>
  </conditionalFormatting>
  <conditionalFormatting sqref="B11:L11">
    <cfRule type="beginsWith" dxfId="7" priority="5" operator="beginsWith" text="Tak">
      <formula>LEFT(B11,LEN("Tak"))="Tak"</formula>
    </cfRule>
    <cfRule type="beginsWith" dxfId="6" priority="6" operator="beginsWith" text="Nie">
      <formula>LEFT(B11,LEN("Nie"))="Nie"</formula>
    </cfRule>
  </conditionalFormatting>
  <conditionalFormatting sqref="B12:L12">
    <cfRule type="beginsWith" dxfId="5" priority="7" operator="beginsWith" text="Tak">
      <formula>LEFT(B12,LEN("Tak"))="Tak"</formula>
    </cfRule>
    <cfRule type="beginsWith" dxfId="4" priority="8" operator="beginsWith" text="Nie">
      <formula>LEFT(B12,LEN("Nie"))="Nie"</formula>
    </cfRule>
  </conditionalFormatting>
  <conditionalFormatting sqref="B14:L14">
    <cfRule type="beginsWith" dxfId="3" priority="9" operator="beginsWith" text="Tak">
      <formula>LEFT(B14,LEN("Tak"))="Tak"</formula>
    </cfRule>
    <cfRule type="beginsWith" dxfId="2" priority="10" operator="beginsWith" text="Nie">
      <formula>LEFT(B14,LEN("Nie"))="Nie"</formula>
    </cfRule>
  </conditionalFormatting>
  <conditionalFormatting sqref="B15:L15">
    <cfRule type="beginsWith" dxfId="1" priority="11" operator="beginsWith" text="Tak">
      <formula>LEFT(B15,LEN("Tak"))="Tak"</formula>
    </cfRule>
    <cfRule type="beginsWith" dxfId="0" priority="12" operator="beginsWith" text="Nie">
      <formula>LEFT(B15,LEN("Nie"))="Nie"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Wykonanie WPF</vt:lpstr>
      <vt:lpstr>Przedsięwzięcia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Wieloletnia prognoza finansowa</dc:title>
  <dc:subject>WPF Asystent - Wykonanie WPF</dc:subject>
  <dc:creator>http://www.curulis.pl</dc:creator>
  <cp:keywords>wpf, curulis, wieloletnia prognoza finansowa, wpf asystent</cp:keywords>
  <cp:lastModifiedBy>User</cp:lastModifiedBy>
  <cp:lastPrinted>2020-08-24T11:37:29Z</cp:lastPrinted>
  <dcterms:created xsi:type="dcterms:W3CDTF">2020-08-24T11:38:15Z</dcterms:created>
  <dcterms:modified xsi:type="dcterms:W3CDTF">2020-08-25T10:47:50Z</dcterms:modified>
</cp:coreProperties>
</file>